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ONGTHONMOI\2023_NTM\KEHOACH 2023\KHTH_2022-2025\2023_TRINH HĐND\"/>
    </mc:Choice>
  </mc:AlternateContent>
  <bookViews>
    <workbookView xWindow="0" yWindow="0" windowWidth="20490" windowHeight="7650"/>
  </bookViews>
  <sheets>
    <sheet name="KHTH_TONG HOP " sheetId="8" r:id="rId1"/>
    <sheet name="pl01_DM ĐTPT NTM 2021-2022(TW)" sheetId="7" r:id="rId2"/>
    <sheet name="pl02_DM ĐTPT 2021 (Vốn tỉnh)" sheetId="11" r:id="rId3"/>
    <sheet name="pl3_KHTH_xa_2023-2025" sheetId="1" r:id="rId4"/>
    <sheet name="pl4_KHTH_H.NTM_2022-2025" sheetId="4" r:id="rId5"/>
    <sheet name="2023" sheetId="10" r:id="rId6"/>
  </sheets>
  <definedNames>
    <definedName name="_xlnm.Print_Titles" localSheetId="1">'pl01_DM ĐTPT NTM 2021-2022(TW)'!$5:$7</definedName>
    <definedName name="_xlnm.Print_Titles" localSheetId="2">'pl02_DM ĐTPT 2021 (Vốn tỉnh)'!$7:$8</definedName>
    <definedName name="_xlnm.Print_Titles" localSheetId="3">'pl3_KHTH_xa_2023-2025'!$5:$7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0" i="1" l="1"/>
  <c r="J200" i="1"/>
  <c r="I200" i="1"/>
  <c r="H200" i="1"/>
  <c r="G200" i="1"/>
  <c r="K230" i="1"/>
  <c r="H7" i="8" l="1"/>
  <c r="G7" i="8"/>
  <c r="F7" i="8"/>
  <c r="L8" i="8"/>
  <c r="L7" i="8" s="1"/>
  <c r="K8" i="8"/>
  <c r="K7" i="8" s="1"/>
  <c r="J8" i="8"/>
  <c r="J7" i="8" s="1"/>
  <c r="I8" i="8"/>
  <c r="I7" i="8" s="1"/>
  <c r="E8" i="8"/>
  <c r="E7" i="8" s="1"/>
  <c r="D8" i="8"/>
  <c r="D7" i="8" s="1"/>
  <c r="C8" i="8"/>
  <c r="C7" i="8" s="1"/>
  <c r="F65" i="11"/>
  <c r="E65" i="11"/>
  <c r="D65" i="11"/>
  <c r="F64" i="11"/>
  <c r="E64" i="11"/>
  <c r="D64" i="11"/>
  <c r="F63" i="11"/>
  <c r="E63" i="11"/>
  <c r="D63" i="11"/>
  <c r="F62" i="11"/>
  <c r="E62" i="11"/>
  <c r="D62" i="11"/>
  <c r="F61" i="11"/>
  <c r="E61" i="11"/>
  <c r="D61" i="11"/>
  <c r="F60" i="11"/>
  <c r="E60" i="11"/>
  <c r="D60" i="11"/>
  <c r="F59" i="11"/>
  <c r="E59" i="11"/>
  <c r="E57" i="11" s="1"/>
  <c r="D59" i="11"/>
  <c r="F58" i="11"/>
  <c r="E58" i="11"/>
  <c r="D58" i="11"/>
  <c r="D57" i="11" s="1"/>
  <c r="C57" i="11"/>
  <c r="F56" i="11"/>
  <c r="E56" i="11"/>
  <c r="D56" i="11"/>
  <c r="F55" i="11"/>
  <c r="E55" i="11"/>
  <c r="D55" i="11"/>
  <c r="F54" i="11"/>
  <c r="F53" i="11" s="1"/>
  <c r="E54" i="11"/>
  <c r="E53" i="11" s="1"/>
  <c r="D54" i="11"/>
  <c r="C53" i="11"/>
  <c r="F52" i="11"/>
  <c r="F51" i="11" s="1"/>
  <c r="E52" i="11"/>
  <c r="D52" i="11"/>
  <c r="D51" i="11" s="1"/>
  <c r="E51" i="11"/>
  <c r="C51" i="11"/>
  <c r="F50" i="11"/>
  <c r="E50" i="11"/>
  <c r="E49" i="11" s="1"/>
  <c r="D50" i="11"/>
  <c r="D49" i="11" s="1"/>
  <c r="F49" i="11"/>
  <c r="C49" i="11"/>
  <c r="F46" i="11"/>
  <c r="F45" i="11" s="1"/>
  <c r="E46" i="11"/>
  <c r="E45" i="11" s="1"/>
  <c r="D46" i="11"/>
  <c r="D45" i="11"/>
  <c r="C45" i="11"/>
  <c r="F44" i="11"/>
  <c r="E44" i="11"/>
  <c r="D44" i="11"/>
  <c r="F43" i="11"/>
  <c r="E43" i="11"/>
  <c r="D43" i="11"/>
  <c r="F42" i="11"/>
  <c r="F40" i="11" s="1"/>
  <c r="E42" i="11"/>
  <c r="D42" i="11"/>
  <c r="F41" i="11"/>
  <c r="E41" i="11"/>
  <c r="E40" i="11" s="1"/>
  <c r="D41" i="11"/>
  <c r="D40" i="11" s="1"/>
  <c r="C40" i="11"/>
  <c r="F39" i="11"/>
  <c r="F38" i="11" s="1"/>
  <c r="E39" i="11"/>
  <c r="E38" i="11" s="1"/>
  <c r="D39" i="11"/>
  <c r="D38" i="11" s="1"/>
  <c r="C38" i="11"/>
  <c r="F37" i="11"/>
  <c r="E37" i="11"/>
  <c r="D37" i="11"/>
  <c r="F36" i="11"/>
  <c r="E36" i="11"/>
  <c r="D36" i="11"/>
  <c r="F35" i="11"/>
  <c r="E35" i="11"/>
  <c r="D35" i="11"/>
  <c r="C34" i="11"/>
  <c r="E34" i="11" s="1"/>
  <c r="E33" i="11" s="1"/>
  <c r="F32" i="11"/>
  <c r="E32" i="11"/>
  <c r="D32" i="11"/>
  <c r="D30" i="11" s="1"/>
  <c r="F31" i="11"/>
  <c r="E31" i="11"/>
  <c r="E30" i="11" s="1"/>
  <c r="D31" i="11"/>
  <c r="F30" i="11"/>
  <c r="C30" i="11"/>
  <c r="F29" i="11"/>
  <c r="F27" i="11" s="1"/>
  <c r="E29" i="11"/>
  <c r="D29" i="11"/>
  <c r="F28" i="11"/>
  <c r="E28" i="11"/>
  <c r="E27" i="11" s="1"/>
  <c r="D28" i="11"/>
  <c r="D27" i="11"/>
  <c r="C27" i="11"/>
  <c r="F24" i="11"/>
  <c r="E24" i="11"/>
  <c r="D24" i="11"/>
  <c r="F23" i="11"/>
  <c r="E23" i="11"/>
  <c r="E21" i="11" s="1"/>
  <c r="D23" i="11"/>
  <c r="F22" i="11"/>
  <c r="F21" i="11" s="1"/>
  <c r="E22" i="11"/>
  <c r="D22" i="11"/>
  <c r="C21" i="11"/>
  <c r="F20" i="11"/>
  <c r="E20" i="11"/>
  <c r="E19" i="11" s="1"/>
  <c r="D20" i="11"/>
  <c r="D19" i="11" s="1"/>
  <c r="F19" i="11"/>
  <c r="C19" i="11"/>
  <c r="F18" i="11"/>
  <c r="E18" i="11"/>
  <c r="F17" i="11"/>
  <c r="E17" i="11"/>
  <c r="F16" i="11"/>
  <c r="E16" i="11"/>
  <c r="E14" i="11" s="1"/>
  <c r="D16" i="11"/>
  <c r="F15" i="11"/>
  <c r="F14" i="11" s="1"/>
  <c r="E15" i="11"/>
  <c r="D15" i="11"/>
  <c r="D14" i="11" s="1"/>
  <c r="C14" i="11"/>
  <c r="F13" i="11"/>
  <c r="E13" i="11"/>
  <c r="D13" i="11"/>
  <c r="F12" i="11"/>
  <c r="F11" i="11" s="1"/>
  <c r="E12" i="11"/>
  <c r="D12" i="11"/>
  <c r="D11" i="11"/>
  <c r="C11" i="11"/>
  <c r="F10" i="11" l="1"/>
  <c r="D10" i="11"/>
  <c r="D34" i="11"/>
  <c r="D33" i="11" s="1"/>
  <c r="D26" i="11" s="1"/>
  <c r="D21" i="11"/>
  <c r="E26" i="11"/>
  <c r="F34" i="11"/>
  <c r="F33" i="11" s="1"/>
  <c r="F26" i="11" s="1"/>
  <c r="F57" i="11"/>
  <c r="C10" i="11"/>
  <c r="E11" i="11"/>
  <c r="C33" i="11"/>
  <c r="C26" i="11" s="1"/>
  <c r="C48" i="11"/>
  <c r="E48" i="11"/>
  <c r="E10" i="11"/>
  <c r="E9" i="11" s="1"/>
  <c r="F48" i="11"/>
  <c r="D53" i="11"/>
  <c r="D48" i="11" s="1"/>
  <c r="F9" i="11" l="1"/>
  <c r="C9" i="11"/>
  <c r="D9" i="11"/>
  <c r="O111" i="1" l="1"/>
  <c r="N111" i="1"/>
  <c r="P101" i="1"/>
  <c r="N101" i="1"/>
  <c r="P246" i="1" l="1"/>
  <c r="O246" i="1"/>
  <c r="N246" i="1"/>
  <c r="M246" i="1"/>
  <c r="L246" i="1"/>
  <c r="K246" i="1"/>
  <c r="J246" i="1"/>
  <c r="I246" i="1"/>
  <c r="F246" i="1"/>
  <c r="P255" i="1"/>
  <c r="O255" i="1"/>
  <c r="N255" i="1"/>
  <c r="M255" i="1"/>
  <c r="L255" i="1"/>
  <c r="K255" i="1"/>
  <c r="J255" i="1"/>
  <c r="I255" i="1"/>
  <c r="F255" i="1"/>
  <c r="I22" i="1"/>
  <c r="D75" i="7"/>
  <c r="D73" i="7"/>
  <c r="D71" i="7"/>
  <c r="D70" i="7"/>
  <c r="D69" i="7"/>
  <c r="G76" i="7"/>
  <c r="F76" i="7"/>
  <c r="E76" i="7"/>
  <c r="D76" i="7" s="1"/>
  <c r="J85" i="7"/>
  <c r="I85" i="7"/>
  <c r="H85" i="7"/>
  <c r="J84" i="7"/>
  <c r="I84" i="7"/>
  <c r="H84" i="7"/>
  <c r="F72" i="7"/>
  <c r="D72" i="7" s="1"/>
  <c r="J73" i="7"/>
  <c r="J72" i="7" s="1"/>
  <c r="I73" i="7"/>
  <c r="I72" i="7" s="1"/>
  <c r="H73" i="7"/>
  <c r="H72" i="7" s="1"/>
  <c r="G72" i="7"/>
  <c r="F74" i="7"/>
  <c r="D74" i="7" s="1"/>
  <c r="J75" i="7"/>
  <c r="J74" i="7" s="1"/>
  <c r="I75" i="7"/>
  <c r="H75" i="7"/>
  <c r="H74" i="7" s="1"/>
  <c r="I74" i="7"/>
  <c r="G74"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1" i="7"/>
  <c r="D150" i="7"/>
  <c r="D149" i="7"/>
  <c r="D148" i="7"/>
  <c r="D147" i="7"/>
  <c r="D145"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3" i="7"/>
  <c r="D82" i="7"/>
  <c r="D81" i="7"/>
  <c r="D80" i="7"/>
  <c r="D79" i="7"/>
  <c r="D78" i="7"/>
  <c r="D77" i="7"/>
  <c r="D68"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G154" i="7"/>
  <c r="H155" i="7"/>
  <c r="I155" i="7"/>
  <c r="J155" i="7"/>
  <c r="H156" i="7"/>
  <c r="I156" i="7"/>
  <c r="J156" i="7"/>
  <c r="H157" i="7"/>
  <c r="I157" i="7"/>
  <c r="J157" i="7"/>
  <c r="G146" i="7"/>
  <c r="F146" i="7"/>
  <c r="E146" i="7"/>
  <c r="J151" i="7"/>
  <c r="I151" i="7"/>
  <c r="H151" i="7"/>
  <c r="J150" i="7"/>
  <c r="I150" i="7"/>
  <c r="H150" i="7"/>
  <c r="J149" i="7"/>
  <c r="I149" i="7"/>
  <c r="H149" i="7"/>
  <c r="J148" i="7"/>
  <c r="I148" i="7"/>
  <c r="H148" i="7"/>
  <c r="F152" i="7"/>
  <c r="D152" i="7" s="1"/>
  <c r="J153" i="7"/>
  <c r="J152" i="7" s="1"/>
  <c r="I153" i="7"/>
  <c r="I152" i="7" s="1"/>
  <c r="H153" i="7"/>
  <c r="H152" i="7" s="1"/>
  <c r="G152" i="7"/>
  <c r="G144" i="7"/>
  <c r="F144" i="7"/>
  <c r="E144" i="7"/>
  <c r="E143" i="7" s="1"/>
  <c r="J145" i="7"/>
  <c r="J144" i="7" s="1"/>
  <c r="I145" i="7"/>
  <c r="I144" i="7" s="1"/>
  <c r="H145" i="7"/>
  <c r="H144" i="7" s="1"/>
  <c r="G11" i="7"/>
  <c r="G16" i="7"/>
  <c r="G15" i="7" s="1"/>
  <c r="G18" i="7"/>
  <c r="G22" i="7"/>
  <c r="G24" i="7"/>
  <c r="G26" i="7"/>
  <c r="G28" i="7"/>
  <c r="G30" i="7"/>
  <c r="G33" i="7"/>
  <c r="G35" i="7"/>
  <c r="G39" i="7"/>
  <c r="G42" i="7"/>
  <c r="G45" i="7"/>
  <c r="G48" i="7"/>
  <c r="G51" i="7"/>
  <c r="G54" i="7"/>
  <c r="G56" i="7"/>
  <c r="G60" i="7"/>
  <c r="G59" i="7" s="1"/>
  <c r="G61" i="7"/>
  <c r="G63" i="7"/>
  <c r="G65" i="7"/>
  <c r="G69" i="7"/>
  <c r="G68" i="7" s="1"/>
  <c r="G89" i="7"/>
  <c r="G90" i="7"/>
  <c r="G91" i="7"/>
  <c r="G95" i="7"/>
  <c r="G97" i="7"/>
  <c r="G100" i="7"/>
  <c r="G104" i="7"/>
  <c r="G106" i="7"/>
  <c r="G108" i="7"/>
  <c r="G113" i="7"/>
  <c r="G114" i="7"/>
  <c r="G115" i="7"/>
  <c r="G116" i="7"/>
  <c r="G120" i="7"/>
  <c r="G124" i="7"/>
  <c r="G125" i="7"/>
  <c r="G126" i="7"/>
  <c r="G127" i="7"/>
  <c r="G130" i="7"/>
  <c r="G134" i="7"/>
  <c r="G135" i="7"/>
  <c r="G136" i="7"/>
  <c r="G137" i="7"/>
  <c r="G141" i="7"/>
  <c r="G160" i="7"/>
  <c r="G163" i="7"/>
  <c r="G165" i="7"/>
  <c r="G168" i="7"/>
  <c r="G170" i="7"/>
  <c r="G174" i="7"/>
  <c r="G177" i="7"/>
  <c r="G176" i="7" s="1"/>
  <c r="G181" i="7"/>
  <c r="G180" i="7" s="1"/>
  <c r="G182" i="7"/>
  <c r="F143" i="7" l="1"/>
  <c r="J154" i="7"/>
  <c r="G143" i="7"/>
  <c r="I154" i="7"/>
  <c r="H154" i="7"/>
  <c r="G67" i="7"/>
  <c r="D146" i="7"/>
  <c r="D67" i="7"/>
  <c r="F67" i="7"/>
  <c r="F9" i="7" s="1"/>
  <c r="D144" i="7"/>
  <c r="E67" i="7"/>
  <c r="E9" i="7" s="1"/>
  <c r="G179" i="7"/>
  <c r="G112" i="7"/>
  <c r="G123" i="7"/>
  <c r="G122" i="7" s="1"/>
  <c r="G99" i="7"/>
  <c r="G58" i="7"/>
  <c r="G133" i="7"/>
  <c r="G132" i="7" s="1"/>
  <c r="G88" i="7"/>
  <c r="G87" i="7" s="1"/>
  <c r="G86" i="7" s="1"/>
  <c r="G32" i="7"/>
  <c r="G111" i="7"/>
  <c r="G159" i="7"/>
  <c r="G47" i="7"/>
  <c r="G10" i="7"/>
  <c r="D143" i="7" l="1"/>
  <c r="D9" i="7" l="1"/>
  <c r="J185" i="7"/>
  <c r="I185" i="7"/>
  <c r="H185" i="7"/>
  <c r="J184" i="7"/>
  <c r="I184" i="7"/>
  <c r="H184" i="7"/>
  <c r="J183" i="7"/>
  <c r="I183" i="7"/>
  <c r="H183" i="7"/>
  <c r="H181" i="7"/>
  <c r="J181" i="7"/>
  <c r="J178" i="7"/>
  <c r="I178" i="7"/>
  <c r="H178" i="7"/>
  <c r="J175" i="7"/>
  <c r="J174" i="7" s="1"/>
  <c r="I175" i="7"/>
  <c r="H175" i="7"/>
  <c r="J173" i="7"/>
  <c r="J172" i="7" s="1"/>
  <c r="I173" i="7"/>
  <c r="I172" i="7" s="1"/>
  <c r="H173" i="7"/>
  <c r="J171" i="7"/>
  <c r="I171" i="7"/>
  <c r="H171" i="7"/>
  <c r="J169" i="7"/>
  <c r="I169" i="7"/>
  <c r="H169" i="7"/>
  <c r="J166" i="7"/>
  <c r="I166" i="7"/>
  <c r="H166" i="7"/>
  <c r="J164" i="7"/>
  <c r="I164" i="7"/>
  <c r="H164" i="7"/>
  <c r="J162" i="7"/>
  <c r="I162" i="7"/>
  <c r="H162" i="7"/>
  <c r="J161" i="7"/>
  <c r="I161" i="7"/>
  <c r="H161" i="7"/>
  <c r="J147" i="7"/>
  <c r="J146" i="7" s="1"/>
  <c r="J143" i="7" s="1"/>
  <c r="I147" i="7"/>
  <c r="H147" i="7"/>
  <c r="J142" i="7"/>
  <c r="I142" i="7"/>
  <c r="H142" i="7"/>
  <c r="J140" i="7"/>
  <c r="I140" i="7"/>
  <c r="H140" i="7"/>
  <c r="J139" i="7"/>
  <c r="I139" i="7"/>
  <c r="H139" i="7"/>
  <c r="J138" i="7"/>
  <c r="I138" i="7"/>
  <c r="H138" i="7"/>
  <c r="H136" i="7"/>
  <c r="J136" i="7"/>
  <c r="J134" i="7"/>
  <c r="I134" i="7"/>
  <c r="H134" i="7"/>
  <c r="J131" i="7"/>
  <c r="I131" i="7"/>
  <c r="H131" i="7"/>
  <c r="H130" i="7" s="1"/>
  <c r="J129" i="7"/>
  <c r="I129" i="7"/>
  <c r="H129" i="7"/>
  <c r="J128" i="7"/>
  <c r="I128" i="7"/>
  <c r="H128" i="7"/>
  <c r="J125" i="7"/>
  <c r="I125" i="7"/>
  <c r="H125" i="7"/>
  <c r="J124" i="7"/>
  <c r="I124" i="7"/>
  <c r="H124" i="7"/>
  <c r="J121" i="7"/>
  <c r="I121" i="7"/>
  <c r="H121" i="7"/>
  <c r="J119" i="7"/>
  <c r="I119" i="7"/>
  <c r="H119" i="7"/>
  <c r="J118" i="7"/>
  <c r="I118" i="7"/>
  <c r="H118" i="7"/>
  <c r="I117" i="7"/>
  <c r="H117" i="7"/>
  <c r="H115" i="7"/>
  <c r="J115" i="7"/>
  <c r="J113" i="7"/>
  <c r="I113" i="7"/>
  <c r="H113" i="7"/>
  <c r="J110" i="7"/>
  <c r="I110" i="7"/>
  <c r="H110" i="7"/>
  <c r="J109" i="7"/>
  <c r="I109" i="7"/>
  <c r="H109" i="7"/>
  <c r="J107" i="7"/>
  <c r="J106" i="7" s="1"/>
  <c r="I107" i="7"/>
  <c r="H107" i="7"/>
  <c r="J105" i="7"/>
  <c r="I105" i="7"/>
  <c r="H105" i="7"/>
  <c r="H104" i="7" s="1"/>
  <c r="J103" i="7"/>
  <c r="I103" i="7"/>
  <c r="H103" i="7"/>
  <c r="J102" i="7"/>
  <c r="I102" i="7"/>
  <c r="H102" i="7"/>
  <c r="J101" i="7"/>
  <c r="I101" i="7"/>
  <c r="H101" i="7"/>
  <c r="J98" i="7"/>
  <c r="I98" i="7"/>
  <c r="H98" i="7"/>
  <c r="J96" i="7"/>
  <c r="I96" i="7"/>
  <c r="I95" i="7" s="1"/>
  <c r="H96" i="7"/>
  <c r="H95" i="7" s="1"/>
  <c r="J94" i="7"/>
  <c r="I94" i="7"/>
  <c r="H94" i="7"/>
  <c r="J93" i="7"/>
  <c r="I93" i="7"/>
  <c r="H93" i="7"/>
  <c r="J92" i="7"/>
  <c r="I92" i="7"/>
  <c r="H92" i="7"/>
  <c r="J90" i="7"/>
  <c r="I90" i="7"/>
  <c r="H90" i="7"/>
  <c r="J89" i="7"/>
  <c r="I89" i="7"/>
  <c r="H89" i="7"/>
  <c r="J83" i="7"/>
  <c r="I83" i="7"/>
  <c r="H83" i="7"/>
  <c r="J82" i="7"/>
  <c r="I82" i="7"/>
  <c r="H82" i="7"/>
  <c r="J81" i="7"/>
  <c r="I81" i="7"/>
  <c r="H81" i="7"/>
  <c r="J80" i="7"/>
  <c r="I80" i="7"/>
  <c r="H80" i="7"/>
  <c r="J79" i="7"/>
  <c r="I79" i="7"/>
  <c r="H79" i="7"/>
  <c r="I78" i="7"/>
  <c r="H78" i="7"/>
  <c r="I77" i="7"/>
  <c r="H77" i="7"/>
  <c r="J71" i="7"/>
  <c r="I71" i="7"/>
  <c r="H71" i="7"/>
  <c r="J70" i="7"/>
  <c r="I70" i="7"/>
  <c r="H70" i="7"/>
  <c r="J66" i="7"/>
  <c r="I66" i="7"/>
  <c r="H66" i="7"/>
  <c r="H65" i="7" s="1"/>
  <c r="J64" i="7"/>
  <c r="I64" i="7"/>
  <c r="I63" i="7" s="1"/>
  <c r="H64" i="7"/>
  <c r="J62" i="7"/>
  <c r="J61" i="7" s="1"/>
  <c r="I62" i="7"/>
  <c r="H62" i="7"/>
  <c r="J57" i="7"/>
  <c r="I57" i="7"/>
  <c r="I56" i="7" s="1"/>
  <c r="H57" i="7"/>
  <c r="H56" i="7" s="1"/>
  <c r="J55" i="7"/>
  <c r="I55" i="7"/>
  <c r="I54" i="7" s="1"/>
  <c r="H55" i="7"/>
  <c r="J53" i="7"/>
  <c r="I53" i="7"/>
  <c r="H53" i="7"/>
  <c r="J52" i="7"/>
  <c r="I52" i="7"/>
  <c r="H52" i="7"/>
  <c r="J50" i="7"/>
  <c r="I50" i="7"/>
  <c r="H50" i="7"/>
  <c r="J49" i="7"/>
  <c r="I49" i="7"/>
  <c r="H49" i="7"/>
  <c r="J46" i="7"/>
  <c r="I46" i="7"/>
  <c r="I45" i="7" s="1"/>
  <c r="H46" i="7"/>
  <c r="J44" i="7"/>
  <c r="I44" i="7"/>
  <c r="H44" i="7"/>
  <c r="J43" i="7"/>
  <c r="I43" i="7"/>
  <c r="H43" i="7"/>
  <c r="J41" i="7"/>
  <c r="I41" i="7"/>
  <c r="H41" i="7"/>
  <c r="J40" i="7"/>
  <c r="I40" i="7"/>
  <c r="H40" i="7"/>
  <c r="J38" i="7"/>
  <c r="I38" i="7"/>
  <c r="H38" i="7"/>
  <c r="J37" i="7"/>
  <c r="I37" i="7"/>
  <c r="H37" i="7"/>
  <c r="J36" i="7"/>
  <c r="I36" i="7"/>
  <c r="H36" i="7"/>
  <c r="J34" i="7"/>
  <c r="I34" i="7"/>
  <c r="I33" i="7" s="1"/>
  <c r="H34" i="7"/>
  <c r="J31" i="7"/>
  <c r="J30" i="7" s="1"/>
  <c r="I31" i="7"/>
  <c r="I30" i="7" s="1"/>
  <c r="H31" i="7"/>
  <c r="J29" i="7"/>
  <c r="I29" i="7"/>
  <c r="I28" i="7" s="1"/>
  <c r="H29" i="7"/>
  <c r="J27" i="7"/>
  <c r="J26" i="7" s="1"/>
  <c r="I27" i="7"/>
  <c r="H27" i="7"/>
  <c r="H26" i="7" s="1"/>
  <c r="J25" i="7"/>
  <c r="I25" i="7"/>
  <c r="I24" i="7" s="1"/>
  <c r="H25" i="7"/>
  <c r="J23" i="7"/>
  <c r="J22" i="7" s="1"/>
  <c r="I23" i="7"/>
  <c r="H23" i="7"/>
  <c r="H22" i="7" s="1"/>
  <c r="J21" i="7"/>
  <c r="I21" i="7"/>
  <c r="H21" i="7"/>
  <c r="J20" i="7"/>
  <c r="I20" i="7"/>
  <c r="H20" i="7"/>
  <c r="J19" i="7"/>
  <c r="I19" i="7"/>
  <c r="H19" i="7"/>
  <c r="J17" i="7"/>
  <c r="I17" i="7"/>
  <c r="H17" i="7"/>
  <c r="J16" i="7"/>
  <c r="I16" i="7"/>
  <c r="J14" i="7"/>
  <c r="I14" i="7"/>
  <c r="H14" i="7"/>
  <c r="J13" i="7"/>
  <c r="I13" i="7"/>
  <c r="H13" i="7"/>
  <c r="J12" i="7"/>
  <c r="I12" i="7"/>
  <c r="H12" i="7"/>
  <c r="H182" i="7" l="1"/>
  <c r="H76" i="7"/>
  <c r="I146" i="7"/>
  <c r="I143" i="7" s="1"/>
  <c r="I76" i="7"/>
  <c r="I104" i="7"/>
  <c r="H146" i="7"/>
  <c r="H143" i="7" s="1"/>
  <c r="J54" i="7"/>
  <c r="J24" i="7"/>
  <c r="J56" i="7"/>
  <c r="J63" i="7"/>
  <c r="H51" i="7"/>
  <c r="I65" i="7"/>
  <c r="I130" i="7"/>
  <c r="J33" i="7"/>
  <c r="J170" i="7"/>
  <c r="J95" i="7"/>
  <c r="J15" i="7"/>
  <c r="I97" i="7"/>
  <c r="H141" i="7"/>
  <c r="I26" i="7"/>
  <c r="H61" i="7"/>
  <c r="J65" i="7"/>
  <c r="G173" i="7"/>
  <c r="H160" i="7"/>
  <c r="H28" i="7"/>
  <c r="H30" i="7"/>
  <c r="H120" i="7"/>
  <c r="H165" i="7"/>
  <c r="H168" i="7"/>
  <c r="H137" i="7"/>
  <c r="J45" i="7"/>
  <c r="J77" i="7"/>
  <c r="I88" i="7"/>
  <c r="J108" i="7"/>
  <c r="H172" i="7"/>
  <c r="J177" i="7"/>
  <c r="I22" i="7"/>
  <c r="I48" i="7"/>
  <c r="H97" i="7"/>
  <c r="H106" i="7"/>
  <c r="H163" i="7"/>
  <c r="J78" i="7"/>
  <c r="J88" i="7"/>
  <c r="I100" i="7"/>
  <c r="I106" i="7"/>
  <c r="H127" i="7"/>
  <c r="I163" i="7"/>
  <c r="H174" i="7"/>
  <c r="J117" i="7"/>
  <c r="H116" i="7"/>
  <c r="I18" i="7"/>
  <c r="H42" i="7"/>
  <c r="H100" i="7"/>
  <c r="I39" i="7"/>
  <c r="H33" i="7"/>
  <c r="H63" i="7"/>
  <c r="I11" i="7"/>
  <c r="J48" i="7"/>
  <c r="I60" i="7"/>
  <c r="H60" i="7"/>
  <c r="I61" i="7"/>
  <c r="J97" i="7"/>
  <c r="J120" i="7"/>
  <c r="I35" i="7"/>
  <c r="I42" i="7"/>
  <c r="I51" i="7"/>
  <c r="J60" i="7"/>
  <c r="I69" i="7"/>
  <c r="H69" i="7"/>
  <c r="H88" i="7"/>
  <c r="I91" i="7"/>
  <c r="J127" i="7"/>
  <c r="J168" i="7"/>
  <c r="I170" i="7"/>
  <c r="J28" i="7"/>
  <c r="H108" i="7"/>
  <c r="I126" i="7"/>
  <c r="H126" i="7"/>
  <c r="J126" i="7"/>
  <c r="I135" i="7"/>
  <c r="H135" i="7"/>
  <c r="J135" i="7"/>
  <c r="J180" i="7"/>
  <c r="H11" i="7"/>
  <c r="J18" i="7"/>
  <c r="H35" i="7"/>
  <c r="J39" i="7"/>
  <c r="H91" i="7"/>
  <c r="I108" i="7"/>
  <c r="I182" i="7"/>
  <c r="J11" i="7"/>
  <c r="I15" i="7"/>
  <c r="H16" i="7"/>
  <c r="H18" i="7"/>
  <c r="H24" i="7"/>
  <c r="J35" i="7"/>
  <c r="H39" i="7"/>
  <c r="J42" i="7"/>
  <c r="H45" i="7"/>
  <c r="H48" i="7"/>
  <c r="J51" i="7"/>
  <c r="H54" i="7"/>
  <c r="J69" i="7"/>
  <c r="J91" i="7"/>
  <c r="J100" i="7"/>
  <c r="J104" i="7"/>
  <c r="I116" i="7"/>
  <c r="J165" i="7"/>
  <c r="I114" i="7"/>
  <c r="H114" i="7"/>
  <c r="J114" i="7"/>
  <c r="J141" i="7"/>
  <c r="J160" i="7"/>
  <c r="H180" i="7"/>
  <c r="I137" i="7"/>
  <c r="I174" i="7"/>
  <c r="I177" i="7"/>
  <c r="I115" i="7"/>
  <c r="I120" i="7"/>
  <c r="I127" i="7"/>
  <c r="J130" i="7"/>
  <c r="I136" i="7"/>
  <c r="J137" i="7"/>
  <c r="I141" i="7"/>
  <c r="I160" i="7"/>
  <c r="J163" i="7"/>
  <c r="I165" i="7"/>
  <c r="I168" i="7"/>
  <c r="H170" i="7"/>
  <c r="H177" i="7"/>
  <c r="I181" i="7"/>
  <c r="J182" i="7"/>
  <c r="G172" i="7" l="1"/>
  <c r="J76" i="7"/>
  <c r="H159" i="7"/>
  <c r="J176" i="7"/>
  <c r="J133" i="7"/>
  <c r="J116" i="7"/>
  <c r="I123" i="7"/>
  <c r="I122" i="7" s="1"/>
  <c r="H112" i="7"/>
  <c r="J112" i="7"/>
  <c r="J87" i="7"/>
  <c r="I68" i="7"/>
  <c r="I67" i="7" s="1"/>
  <c r="I112" i="7"/>
  <c r="H47" i="7"/>
  <c r="H15" i="7"/>
  <c r="H87" i="7"/>
  <c r="J47" i="7"/>
  <c r="I167" i="7"/>
  <c r="J99" i="7"/>
  <c r="H133" i="7"/>
  <c r="J179" i="7"/>
  <c r="I47" i="7"/>
  <c r="H32" i="7"/>
  <c r="H123" i="7"/>
  <c r="J68" i="7"/>
  <c r="J67" i="7" s="1"/>
  <c r="J10" i="7"/>
  <c r="I133" i="7"/>
  <c r="I99" i="7"/>
  <c r="I32" i="7"/>
  <c r="H99" i="7"/>
  <c r="H59" i="7"/>
  <c r="I87" i="7"/>
  <c r="I159" i="7"/>
  <c r="J159" i="7"/>
  <c r="J123" i="7"/>
  <c r="J167" i="7"/>
  <c r="I180" i="7"/>
  <c r="H176" i="7"/>
  <c r="I176" i="7"/>
  <c r="H179" i="7"/>
  <c r="J32" i="7"/>
  <c r="H167" i="7"/>
  <c r="H68" i="7"/>
  <c r="H67" i="7" s="1"/>
  <c r="J59" i="7"/>
  <c r="I59" i="7"/>
  <c r="I10" i="7"/>
  <c r="G167" i="7" l="1"/>
  <c r="J132" i="7"/>
  <c r="H111" i="7"/>
  <c r="J111" i="7"/>
  <c r="J86" i="7"/>
  <c r="J122" i="7"/>
  <c r="H10" i="7"/>
  <c r="I111" i="7"/>
  <c r="I58" i="7"/>
  <c r="I179" i="7"/>
  <c r="I86" i="7"/>
  <c r="H122" i="7"/>
  <c r="H132" i="7"/>
  <c r="J58" i="7"/>
  <c r="H58" i="7"/>
  <c r="I132" i="7"/>
  <c r="H86" i="7"/>
  <c r="P143" i="1"/>
  <c r="K143" i="1"/>
  <c r="J143" i="1"/>
  <c r="I9" i="7" l="1"/>
  <c r="J9" i="7"/>
  <c r="G9" i="7"/>
  <c r="H9" i="7"/>
  <c r="F53" i="1"/>
  <c r="M34" i="4" l="1"/>
  <c r="M33" i="4" s="1"/>
  <c r="L34" i="4"/>
  <c r="L33" i="4" s="1"/>
  <c r="K33" i="4"/>
  <c r="I33" i="4"/>
  <c r="H33" i="4"/>
  <c r="G33" i="4"/>
  <c r="F33" i="4"/>
  <c r="E33" i="4"/>
  <c r="M32" i="4"/>
  <c r="L32" i="4"/>
  <c r="L30" i="4" s="1"/>
  <c r="E32" i="4"/>
  <c r="M31" i="4"/>
  <c r="M30" i="4" s="1"/>
  <c r="L31" i="4"/>
  <c r="E31" i="4"/>
  <c r="E30" i="4" s="1"/>
  <c r="O30" i="4"/>
  <c r="N30" i="4"/>
  <c r="K30" i="4"/>
  <c r="J30" i="4"/>
  <c r="I30" i="4"/>
  <c r="H30" i="4"/>
  <c r="G30" i="4"/>
  <c r="F30" i="4"/>
  <c r="M29" i="4"/>
  <c r="L29" i="4"/>
  <c r="E29" i="4"/>
  <c r="M28" i="4"/>
  <c r="L28" i="4"/>
  <c r="E28" i="4"/>
  <c r="M27" i="4"/>
  <c r="L27" i="4"/>
  <c r="E27" i="4"/>
  <c r="M26" i="4"/>
  <c r="L26" i="4"/>
  <c r="E26" i="4"/>
  <c r="M25" i="4"/>
  <c r="L25" i="4"/>
  <c r="E25" i="4"/>
  <c r="M24" i="4"/>
  <c r="L24" i="4"/>
  <c r="E24" i="4"/>
  <c r="O23" i="4"/>
  <c r="N23" i="4"/>
  <c r="K23" i="4"/>
  <c r="J23" i="4"/>
  <c r="I23" i="4"/>
  <c r="H23" i="4"/>
  <c r="G23" i="4"/>
  <c r="G20" i="4" s="1"/>
  <c r="F23" i="4"/>
  <c r="M22" i="4"/>
  <c r="M21" i="4" s="1"/>
  <c r="L22" i="4"/>
  <c r="L21" i="4" s="1"/>
  <c r="E22" i="4"/>
  <c r="E21" i="4" s="1"/>
  <c r="O21" i="4"/>
  <c r="O20" i="4" s="1"/>
  <c r="N21" i="4"/>
  <c r="K21" i="4"/>
  <c r="J21" i="4"/>
  <c r="H21" i="4"/>
  <c r="M19" i="4"/>
  <c r="M18" i="4" s="1"/>
  <c r="L19" i="4"/>
  <c r="L18" i="4" s="1"/>
  <c r="E19" i="4"/>
  <c r="E18" i="4" s="1"/>
  <c r="O18" i="4"/>
  <c r="N18" i="4"/>
  <c r="K18" i="4"/>
  <c r="I18" i="4"/>
  <c r="H18" i="4"/>
  <c r="G18" i="4"/>
  <c r="F18" i="4"/>
  <c r="M16" i="4"/>
  <c r="L16" i="4"/>
  <c r="I16" i="4"/>
  <c r="M15" i="4"/>
  <c r="L15" i="4"/>
  <c r="E15" i="4"/>
  <c r="E14" i="4" s="1"/>
  <c r="O14" i="4"/>
  <c r="N14" i="4"/>
  <c r="K14" i="4"/>
  <c r="J14" i="4"/>
  <c r="I14" i="4"/>
  <c r="H14" i="4"/>
  <c r="G14" i="4"/>
  <c r="F14" i="4"/>
  <c r="M13" i="4"/>
  <c r="L13" i="4"/>
  <c r="O12" i="4"/>
  <c r="N12" i="4"/>
  <c r="M12" i="4"/>
  <c r="L12" i="4"/>
  <c r="K12" i="4"/>
  <c r="I12" i="4"/>
  <c r="H12" i="4"/>
  <c r="G12" i="4"/>
  <c r="F12" i="4"/>
  <c r="E12" i="4"/>
  <c r="K20" i="4" l="1"/>
  <c r="N20" i="4"/>
  <c r="N11" i="4" s="1"/>
  <c r="M23" i="4"/>
  <c r="M20" i="4" s="1"/>
  <c r="I11" i="4"/>
  <c r="G11" i="4"/>
  <c r="I20" i="4"/>
  <c r="M14" i="4"/>
  <c r="E23" i="4"/>
  <c r="E20" i="4" s="1"/>
  <c r="E11" i="4" s="1"/>
  <c r="H20" i="4"/>
  <c r="H11" i="4" s="1"/>
  <c r="K11" i="4"/>
  <c r="O11" i="4"/>
  <c r="L23" i="4"/>
  <c r="L20" i="4" s="1"/>
  <c r="L11" i="4" s="1"/>
  <c r="L14" i="4"/>
  <c r="F20" i="4"/>
  <c r="F11" i="4" s="1"/>
  <c r="J20" i="4"/>
  <c r="J11" i="4" s="1"/>
  <c r="M11" i="4" l="1"/>
  <c r="L206" i="1"/>
  <c r="K206" i="1"/>
  <c r="J206" i="1"/>
  <c r="N218" i="1"/>
  <c r="M218" i="1"/>
  <c r="N217" i="1"/>
  <c r="M217" i="1"/>
  <c r="O144" i="1" l="1"/>
  <c r="M144" i="1"/>
  <c r="N144" i="1"/>
  <c r="P256" i="1"/>
  <c r="O256" i="1"/>
  <c r="N256" i="1"/>
  <c r="M256" i="1"/>
  <c r="L256" i="1"/>
  <c r="I256" i="1"/>
  <c r="H255" i="1"/>
  <c r="H246" i="1" s="1"/>
  <c r="G255" i="1"/>
  <c r="O254" i="1"/>
  <c r="N254" i="1"/>
  <c r="M254" i="1"/>
  <c r="O253" i="1"/>
  <c r="N253" i="1"/>
  <c r="M253" i="1"/>
  <c r="O252" i="1"/>
  <c r="N252" i="1"/>
  <c r="M252" i="1"/>
  <c r="P251" i="1"/>
  <c r="O251" i="1"/>
  <c r="N251" i="1"/>
  <c r="M251" i="1"/>
  <c r="I251" i="1"/>
  <c r="P250" i="1"/>
  <c r="O250" i="1"/>
  <c r="N250" i="1"/>
  <c r="M250" i="1"/>
  <c r="I250" i="1"/>
  <c r="L249" i="1"/>
  <c r="K249" i="1"/>
  <c r="J249" i="1"/>
  <c r="H249" i="1"/>
  <c r="G249" i="1"/>
  <c r="F249" i="1"/>
  <c r="P257" i="1"/>
  <c r="O257" i="1"/>
  <c r="N257" i="1"/>
  <c r="M257" i="1"/>
  <c r="L257" i="1"/>
  <c r="I257" i="1"/>
  <c r="P248" i="1"/>
  <c r="O248" i="1"/>
  <c r="N248" i="1"/>
  <c r="M248" i="1"/>
  <c r="L248" i="1"/>
  <c r="P247" i="1"/>
  <c r="O247" i="1"/>
  <c r="N247" i="1"/>
  <c r="M247" i="1"/>
  <c r="L247" i="1"/>
  <c r="I247" i="1"/>
  <c r="G246" i="1"/>
  <c r="P244" i="1"/>
  <c r="O244" i="1"/>
  <c r="N244" i="1"/>
  <c r="M244" i="1"/>
  <c r="L244" i="1"/>
  <c r="I244" i="1"/>
  <c r="P243" i="1"/>
  <c r="O243" i="1"/>
  <c r="N243" i="1"/>
  <c r="M243" i="1"/>
  <c r="L243" i="1"/>
  <c r="P242" i="1"/>
  <c r="O242" i="1"/>
  <c r="N242" i="1"/>
  <c r="M242" i="1"/>
  <c r="L242" i="1"/>
  <c r="I242" i="1"/>
  <c r="P241" i="1"/>
  <c r="O241" i="1"/>
  <c r="N241" i="1"/>
  <c r="M241" i="1"/>
  <c r="L241" i="1"/>
  <c r="I241" i="1"/>
  <c r="P240" i="1"/>
  <c r="O240" i="1"/>
  <c r="N240" i="1"/>
  <c r="M240" i="1"/>
  <c r="L240" i="1"/>
  <c r="I240" i="1"/>
  <c r="P239" i="1"/>
  <c r="O239" i="1"/>
  <c r="N239" i="1"/>
  <c r="M239" i="1"/>
  <c r="L239" i="1"/>
  <c r="I239" i="1"/>
  <c r="K238" i="1"/>
  <c r="J238" i="1"/>
  <c r="H238" i="1"/>
  <c r="G238" i="1"/>
  <c r="G235" i="1" s="1"/>
  <c r="F238" i="1"/>
  <c r="L237" i="1"/>
  <c r="N237" i="1" s="1"/>
  <c r="N236" i="1" s="1"/>
  <c r="P236" i="1"/>
  <c r="O236" i="1"/>
  <c r="K236" i="1"/>
  <c r="J236" i="1"/>
  <c r="I236" i="1"/>
  <c r="H236" i="1"/>
  <c r="G236" i="1"/>
  <c r="F236" i="1"/>
  <c r="O233" i="1"/>
  <c r="N233" i="1"/>
  <c r="M233" i="1"/>
  <c r="K233" i="1"/>
  <c r="F233" i="1" s="1"/>
  <c r="O232" i="1"/>
  <c r="O231" i="1" s="1"/>
  <c r="N232" i="1"/>
  <c r="N231" i="1" s="1"/>
  <c r="M232" i="1"/>
  <c r="M231" i="1" s="1"/>
  <c r="J232" i="1"/>
  <c r="F232" i="1" s="1"/>
  <c r="F231" i="1" s="1"/>
  <c r="P231" i="1"/>
  <c r="L231" i="1"/>
  <c r="I231" i="1"/>
  <c r="H231" i="1"/>
  <c r="G231" i="1"/>
  <c r="P230" i="1"/>
  <c r="N230" i="1"/>
  <c r="M230" i="1"/>
  <c r="F230" i="1"/>
  <c r="O229" i="1"/>
  <c r="O228" i="1" s="1"/>
  <c r="N229" i="1"/>
  <c r="N228" i="1" s="1"/>
  <c r="M229" i="1"/>
  <c r="M228" i="1" s="1"/>
  <c r="P228" i="1"/>
  <c r="L228" i="1"/>
  <c r="J228" i="1"/>
  <c r="I228" i="1"/>
  <c r="H228" i="1"/>
  <c r="G228" i="1"/>
  <c r="P227" i="1"/>
  <c r="N227" i="1"/>
  <c r="M227" i="1"/>
  <c r="P226" i="1"/>
  <c r="N226" i="1"/>
  <c r="M226" i="1"/>
  <c r="P225" i="1"/>
  <c r="N225" i="1"/>
  <c r="M225" i="1"/>
  <c r="M224" i="1" s="1"/>
  <c r="O224" i="1"/>
  <c r="L224" i="1"/>
  <c r="K224" i="1"/>
  <c r="J224" i="1"/>
  <c r="I224" i="1"/>
  <c r="H224" i="1"/>
  <c r="G224" i="1"/>
  <c r="P223" i="1"/>
  <c r="N223" i="1"/>
  <c r="M223" i="1"/>
  <c r="J223" i="1"/>
  <c r="P222" i="1"/>
  <c r="N222" i="1"/>
  <c r="M222" i="1"/>
  <c r="J222" i="1"/>
  <c r="P221" i="1"/>
  <c r="N221" i="1"/>
  <c r="N220" i="1" s="1"/>
  <c r="M221" i="1"/>
  <c r="M220" i="1" s="1"/>
  <c r="J221" i="1"/>
  <c r="J220" i="1" s="1"/>
  <c r="P220" i="1"/>
  <c r="O220" i="1"/>
  <c r="L220" i="1"/>
  <c r="K220" i="1"/>
  <c r="I220" i="1"/>
  <c r="H220" i="1"/>
  <c r="G220" i="1"/>
  <c r="F220" i="1"/>
  <c r="N216" i="1"/>
  <c r="M216" i="1"/>
  <c r="N215" i="1"/>
  <c r="M215" i="1"/>
  <c r="N214" i="1"/>
  <c r="M214" i="1"/>
  <c r="N213" i="1"/>
  <c r="M213" i="1"/>
  <c r="N212" i="1"/>
  <c r="M212" i="1"/>
  <c r="N211" i="1"/>
  <c r="M211" i="1"/>
  <c r="N210" i="1"/>
  <c r="M210" i="1"/>
  <c r="N209" i="1"/>
  <c r="M209" i="1"/>
  <c r="N208" i="1"/>
  <c r="M208" i="1"/>
  <c r="N207" i="1"/>
  <c r="M207" i="1"/>
  <c r="C206" i="1"/>
  <c r="N205" i="1"/>
  <c r="M205" i="1"/>
  <c r="K205" i="1"/>
  <c r="F205" i="1" s="1"/>
  <c r="N204" i="1"/>
  <c r="M204" i="1"/>
  <c r="K204" i="1"/>
  <c r="F204" i="1" s="1"/>
  <c r="N203" i="1"/>
  <c r="M203" i="1"/>
  <c r="J203" i="1"/>
  <c r="F203" i="1" s="1"/>
  <c r="P202" i="1"/>
  <c r="P201" i="1" s="1"/>
  <c r="O202" i="1"/>
  <c r="O201" i="1" s="1"/>
  <c r="L202" i="1"/>
  <c r="I202" i="1"/>
  <c r="H202" i="1"/>
  <c r="G202" i="1"/>
  <c r="G201" i="1" s="1"/>
  <c r="H201" i="1"/>
  <c r="O198" i="1"/>
  <c r="N198" i="1"/>
  <c r="M198" i="1"/>
  <c r="I198" i="1"/>
  <c r="O197" i="1"/>
  <c r="N197" i="1"/>
  <c r="M197" i="1"/>
  <c r="L197" i="1"/>
  <c r="L196" i="1"/>
  <c r="M196" i="1" s="1"/>
  <c r="K196" i="1"/>
  <c r="F196" i="1"/>
  <c r="P195" i="1"/>
  <c r="O195" i="1"/>
  <c r="N195" i="1"/>
  <c r="M195" i="1"/>
  <c r="J195" i="1"/>
  <c r="H195" i="1"/>
  <c r="G195" i="1"/>
  <c r="P194" i="1"/>
  <c r="N194" i="1"/>
  <c r="M194" i="1"/>
  <c r="I194" i="1"/>
  <c r="P193" i="1"/>
  <c r="N193" i="1"/>
  <c r="M193" i="1"/>
  <c r="M192" i="1" s="1"/>
  <c r="I193" i="1"/>
  <c r="I192" i="1" s="1"/>
  <c r="P192" i="1"/>
  <c r="N192" i="1"/>
  <c r="L192" i="1"/>
  <c r="F192" i="1"/>
  <c r="P191" i="1"/>
  <c r="N191" i="1"/>
  <c r="M191" i="1"/>
  <c r="J191" i="1"/>
  <c r="P190" i="1"/>
  <c r="N190" i="1"/>
  <c r="M190" i="1"/>
  <c r="J190" i="1"/>
  <c r="P189" i="1"/>
  <c r="N189" i="1"/>
  <c r="M189" i="1"/>
  <c r="J189" i="1"/>
  <c r="P188" i="1"/>
  <c r="N188" i="1"/>
  <c r="M188" i="1"/>
  <c r="J188" i="1"/>
  <c r="P187" i="1"/>
  <c r="N187" i="1"/>
  <c r="M187" i="1"/>
  <c r="J187" i="1"/>
  <c r="P186" i="1"/>
  <c r="N186" i="1"/>
  <c r="M186" i="1"/>
  <c r="J186" i="1"/>
  <c r="P185" i="1"/>
  <c r="N185" i="1"/>
  <c r="M185" i="1"/>
  <c r="J185" i="1"/>
  <c r="P184" i="1"/>
  <c r="N184" i="1"/>
  <c r="M184" i="1"/>
  <c r="J184" i="1"/>
  <c r="P183" i="1"/>
  <c r="N183" i="1"/>
  <c r="M183" i="1"/>
  <c r="J183" i="1"/>
  <c r="P182" i="1"/>
  <c r="N182" i="1"/>
  <c r="N181" i="1" s="1"/>
  <c r="M182" i="1"/>
  <c r="M181" i="1" s="1"/>
  <c r="J182" i="1"/>
  <c r="P181" i="1"/>
  <c r="O181" i="1"/>
  <c r="L181" i="1"/>
  <c r="K181" i="1"/>
  <c r="I181" i="1"/>
  <c r="H181" i="1"/>
  <c r="G181" i="1"/>
  <c r="F181" i="1"/>
  <c r="P180" i="1"/>
  <c r="N180" i="1"/>
  <c r="M180" i="1"/>
  <c r="K180" i="1"/>
  <c r="P179" i="1"/>
  <c r="N179" i="1"/>
  <c r="M179" i="1"/>
  <c r="I179" i="1"/>
  <c r="F179" i="1" s="1"/>
  <c r="P178" i="1"/>
  <c r="N178" i="1"/>
  <c r="M178" i="1"/>
  <c r="I178" i="1"/>
  <c r="F178" i="1" s="1"/>
  <c r="P177" i="1"/>
  <c r="N177" i="1"/>
  <c r="M177" i="1"/>
  <c r="I177" i="1"/>
  <c r="F177" i="1" s="1"/>
  <c r="P176" i="1"/>
  <c r="N176" i="1"/>
  <c r="M176" i="1"/>
  <c r="I176" i="1"/>
  <c r="P175" i="1"/>
  <c r="P174" i="1" s="1"/>
  <c r="P170" i="1" s="1"/>
  <c r="N175" i="1"/>
  <c r="M175" i="1"/>
  <c r="I175" i="1"/>
  <c r="F175" i="1" s="1"/>
  <c r="O174" i="1"/>
  <c r="L174" i="1"/>
  <c r="J174" i="1"/>
  <c r="H174" i="1"/>
  <c r="G174" i="1"/>
  <c r="N173" i="1"/>
  <c r="N172" i="1" s="1"/>
  <c r="N171" i="1" s="1"/>
  <c r="M173" i="1"/>
  <c r="M172" i="1" s="1"/>
  <c r="M171" i="1" s="1"/>
  <c r="I173" i="1"/>
  <c r="F173" i="1" s="1"/>
  <c r="F172" i="1" s="1"/>
  <c r="F171" i="1" s="1"/>
  <c r="O172" i="1"/>
  <c r="O171" i="1" s="1"/>
  <c r="L172" i="1"/>
  <c r="L171" i="1" s="1"/>
  <c r="I172" i="1"/>
  <c r="I171" i="1" s="1"/>
  <c r="K171" i="1"/>
  <c r="H171" i="1"/>
  <c r="H170" i="1" s="1"/>
  <c r="G171" i="1"/>
  <c r="O168" i="1"/>
  <c r="N168" i="1"/>
  <c r="M168" i="1"/>
  <c r="F168" i="1"/>
  <c r="O167" i="1"/>
  <c r="N167" i="1"/>
  <c r="M167" i="1"/>
  <c r="F167" i="1"/>
  <c r="O166" i="1"/>
  <c r="O165" i="1" s="1"/>
  <c r="N166" i="1"/>
  <c r="N165" i="1" s="1"/>
  <c r="M166" i="1"/>
  <c r="M165" i="1" s="1"/>
  <c r="F166" i="1"/>
  <c r="F165" i="1" s="1"/>
  <c r="P165" i="1"/>
  <c r="L165" i="1"/>
  <c r="K165" i="1"/>
  <c r="J165" i="1"/>
  <c r="I165" i="1"/>
  <c r="H165" i="1"/>
  <c r="G165" i="1"/>
  <c r="O164" i="1"/>
  <c r="N164" i="1"/>
  <c r="M164" i="1"/>
  <c r="I164" i="1"/>
  <c r="F164" i="1" s="1"/>
  <c r="O163" i="1"/>
  <c r="N163" i="1"/>
  <c r="M163" i="1"/>
  <c r="I163" i="1"/>
  <c r="F163" i="1" s="1"/>
  <c r="O162" i="1"/>
  <c r="N162" i="1"/>
  <c r="M162" i="1"/>
  <c r="J162" i="1"/>
  <c r="F162" i="1" s="1"/>
  <c r="O161" i="1"/>
  <c r="N161" i="1"/>
  <c r="M161" i="1"/>
  <c r="J161" i="1"/>
  <c r="P160" i="1"/>
  <c r="N160" i="1"/>
  <c r="L160" i="1"/>
  <c r="K160" i="1"/>
  <c r="H160" i="1"/>
  <c r="G160" i="1"/>
  <c r="N159" i="1"/>
  <c r="N158" i="1" s="1"/>
  <c r="M159" i="1"/>
  <c r="F159" i="1"/>
  <c r="F158" i="1" s="1"/>
  <c r="M158" i="1"/>
  <c r="L158" i="1"/>
  <c r="C158" i="1"/>
  <c r="P157" i="1"/>
  <c r="N157" i="1"/>
  <c r="M157" i="1"/>
  <c r="P156" i="1"/>
  <c r="N156" i="1"/>
  <c r="N155" i="1" s="1"/>
  <c r="M156" i="1"/>
  <c r="M155" i="1" s="1"/>
  <c r="J155" i="1"/>
  <c r="J154" i="1" s="1"/>
  <c r="P155" i="1"/>
  <c r="O155" i="1"/>
  <c r="O154" i="1" s="1"/>
  <c r="L155" i="1"/>
  <c r="K155" i="1"/>
  <c r="K154" i="1" s="1"/>
  <c r="I155" i="1"/>
  <c r="H155" i="1"/>
  <c r="H154" i="1" s="1"/>
  <c r="G155" i="1"/>
  <c r="G154" i="1" s="1"/>
  <c r="C155" i="1"/>
  <c r="P154" i="1"/>
  <c r="P153" i="1"/>
  <c r="O151" i="1"/>
  <c r="N151" i="1"/>
  <c r="N150" i="1" s="1"/>
  <c r="M151" i="1"/>
  <c r="M150" i="1" s="1"/>
  <c r="P150" i="1"/>
  <c r="O150" i="1"/>
  <c r="L150" i="1"/>
  <c r="K150" i="1"/>
  <c r="J150" i="1"/>
  <c r="H150" i="1"/>
  <c r="G150" i="1"/>
  <c r="O147" i="1"/>
  <c r="P147" i="1"/>
  <c r="P135" i="1" s="1"/>
  <c r="N147" i="1"/>
  <c r="M147" i="1"/>
  <c r="L147" i="1"/>
  <c r="K147" i="1"/>
  <c r="J147" i="1"/>
  <c r="I147" i="1"/>
  <c r="H147" i="1"/>
  <c r="G147" i="1"/>
  <c r="L146" i="1"/>
  <c r="M146" i="1" s="1"/>
  <c r="L145" i="1"/>
  <c r="N145" i="1" s="1"/>
  <c r="I144" i="1"/>
  <c r="H143" i="1"/>
  <c r="G143" i="1"/>
  <c r="N141" i="1"/>
  <c r="M141" i="1"/>
  <c r="N140" i="1"/>
  <c r="M140" i="1"/>
  <c r="N139" i="1"/>
  <c r="M139" i="1"/>
  <c r="N138" i="1"/>
  <c r="M138" i="1"/>
  <c r="P137" i="1"/>
  <c r="P136" i="1" s="1"/>
  <c r="O137" i="1"/>
  <c r="O136" i="1" s="1"/>
  <c r="L137" i="1"/>
  <c r="L136" i="1" s="1"/>
  <c r="K137" i="1"/>
  <c r="K136" i="1" s="1"/>
  <c r="J137" i="1"/>
  <c r="H137" i="1"/>
  <c r="H136" i="1" s="1"/>
  <c r="G137" i="1"/>
  <c r="J136" i="1"/>
  <c r="P133" i="1"/>
  <c r="N133" i="1"/>
  <c r="M133" i="1"/>
  <c r="L133" i="1"/>
  <c r="P132" i="1"/>
  <c r="P130" i="1" s="1"/>
  <c r="N132" i="1"/>
  <c r="M132" i="1"/>
  <c r="P131" i="1"/>
  <c r="N131" i="1"/>
  <c r="M131" i="1"/>
  <c r="O130" i="1"/>
  <c r="L130" i="1"/>
  <c r="K130" i="1"/>
  <c r="J130" i="1"/>
  <c r="I130" i="1"/>
  <c r="H130" i="1"/>
  <c r="G130" i="1"/>
  <c r="F130" i="1"/>
  <c r="P129" i="1"/>
  <c r="N129" i="1"/>
  <c r="M129" i="1"/>
  <c r="K129" i="1"/>
  <c r="P128" i="1"/>
  <c r="N128" i="1"/>
  <c r="M128" i="1"/>
  <c r="K128" i="1"/>
  <c r="P127" i="1"/>
  <c r="N127" i="1"/>
  <c r="M127" i="1"/>
  <c r="K127" i="1"/>
  <c r="P126" i="1"/>
  <c r="N126" i="1"/>
  <c r="M126" i="1"/>
  <c r="K126" i="1"/>
  <c r="K120" i="1" s="1"/>
  <c r="K119" i="1" s="1"/>
  <c r="P125" i="1"/>
  <c r="N125" i="1"/>
  <c r="M125" i="1"/>
  <c r="P124" i="1"/>
  <c r="N124" i="1"/>
  <c r="M124" i="1"/>
  <c r="P123" i="1"/>
  <c r="N123" i="1"/>
  <c r="M123" i="1"/>
  <c r="P122" i="1"/>
  <c r="N122" i="1"/>
  <c r="M122" i="1"/>
  <c r="I122" i="1"/>
  <c r="I120" i="1" s="1"/>
  <c r="I119" i="1" s="1"/>
  <c r="P121" i="1"/>
  <c r="N121" i="1"/>
  <c r="N120" i="1" s="1"/>
  <c r="N119" i="1" s="1"/>
  <c r="M121" i="1"/>
  <c r="M120" i="1" s="1"/>
  <c r="M119" i="1" s="1"/>
  <c r="J120" i="1"/>
  <c r="J119" i="1" s="1"/>
  <c r="J118" i="1" s="1"/>
  <c r="O120" i="1"/>
  <c r="O119" i="1" s="1"/>
  <c r="L120" i="1"/>
  <c r="L119" i="1" s="1"/>
  <c r="L118" i="1" s="1"/>
  <c r="H120" i="1"/>
  <c r="H119" i="1" s="1"/>
  <c r="H118" i="1" s="1"/>
  <c r="G120" i="1"/>
  <c r="G119" i="1" s="1"/>
  <c r="F120" i="1"/>
  <c r="C120" i="1"/>
  <c r="F119" i="1"/>
  <c r="O116" i="1"/>
  <c r="O115" i="1" s="1"/>
  <c r="N116" i="1"/>
  <c r="N115" i="1" s="1"/>
  <c r="M116" i="1"/>
  <c r="M115" i="1" s="1"/>
  <c r="J116" i="1"/>
  <c r="F116" i="1" s="1"/>
  <c r="F115" i="1" s="1"/>
  <c r="P115" i="1"/>
  <c r="L115" i="1"/>
  <c r="K115" i="1"/>
  <c r="I115" i="1"/>
  <c r="H115" i="1"/>
  <c r="G115" i="1"/>
  <c r="O114" i="1"/>
  <c r="N114" i="1"/>
  <c r="N113" i="1" s="1"/>
  <c r="M114" i="1"/>
  <c r="M113" i="1" s="1"/>
  <c r="F114" i="1"/>
  <c r="F113" i="1" s="1"/>
  <c r="P113" i="1"/>
  <c r="O113" i="1"/>
  <c r="L113" i="1"/>
  <c r="J113" i="1"/>
  <c r="I113" i="1"/>
  <c r="H113" i="1"/>
  <c r="G113" i="1"/>
  <c r="O112" i="1"/>
  <c r="N112" i="1"/>
  <c r="M112" i="1"/>
  <c r="F112" i="1"/>
  <c r="M111" i="1"/>
  <c r="F111" i="1"/>
  <c r="O110" i="1"/>
  <c r="N110" i="1"/>
  <c r="M110" i="1"/>
  <c r="F110" i="1"/>
  <c r="P109" i="1"/>
  <c r="N109" i="1"/>
  <c r="M109" i="1"/>
  <c r="F109" i="1"/>
  <c r="P108" i="1"/>
  <c r="N108" i="1"/>
  <c r="M108" i="1"/>
  <c r="F108" i="1"/>
  <c r="P107" i="1"/>
  <c r="P106" i="1" s="1"/>
  <c r="N107" i="1"/>
  <c r="M107" i="1"/>
  <c r="F107" i="1"/>
  <c r="L106" i="1"/>
  <c r="H106" i="1"/>
  <c r="G106" i="1"/>
  <c r="O105" i="1"/>
  <c r="O104" i="1" s="1"/>
  <c r="N105" i="1"/>
  <c r="N104" i="1" s="1"/>
  <c r="M105" i="1"/>
  <c r="M104" i="1" s="1"/>
  <c r="I105" i="1"/>
  <c r="F105" i="1" s="1"/>
  <c r="F104" i="1" s="1"/>
  <c r="P104" i="1"/>
  <c r="L104" i="1"/>
  <c r="L103" i="1" s="1"/>
  <c r="K104" i="1"/>
  <c r="J104" i="1"/>
  <c r="H104" i="1"/>
  <c r="G104" i="1"/>
  <c r="P100" i="1"/>
  <c r="N100" i="1"/>
  <c r="M101" i="1"/>
  <c r="M100" i="1" s="1"/>
  <c r="L100" i="1"/>
  <c r="K100" i="1"/>
  <c r="J100" i="1"/>
  <c r="I100" i="1"/>
  <c r="H100" i="1"/>
  <c r="G100" i="1"/>
  <c r="F100" i="1"/>
  <c r="P99" i="1"/>
  <c r="N99" i="1"/>
  <c r="M99" i="1"/>
  <c r="F99" i="1"/>
  <c r="P98" i="1"/>
  <c r="N98" i="1"/>
  <c r="N97" i="1" s="1"/>
  <c r="M98" i="1"/>
  <c r="M97" i="1" s="1"/>
  <c r="F98" i="1"/>
  <c r="P97" i="1"/>
  <c r="O97" i="1"/>
  <c r="L97" i="1"/>
  <c r="K97" i="1"/>
  <c r="J97" i="1"/>
  <c r="I97" i="1"/>
  <c r="H97" i="1"/>
  <c r="G97" i="1"/>
  <c r="F97" i="1"/>
  <c r="P96" i="1"/>
  <c r="N96" i="1"/>
  <c r="M96" i="1"/>
  <c r="F96" i="1"/>
  <c r="P95" i="1"/>
  <c r="N95" i="1"/>
  <c r="N94" i="1" s="1"/>
  <c r="M95" i="1"/>
  <c r="M94" i="1" s="1"/>
  <c r="F95" i="1"/>
  <c r="F94" i="1" s="1"/>
  <c r="F93" i="1" s="1"/>
  <c r="P94" i="1"/>
  <c r="O94" i="1"/>
  <c r="O93" i="1" s="1"/>
  <c r="K94" i="1"/>
  <c r="J94" i="1"/>
  <c r="I94" i="1"/>
  <c r="H94" i="1"/>
  <c r="G94" i="1"/>
  <c r="J93" i="1"/>
  <c r="O91" i="1"/>
  <c r="N91" i="1"/>
  <c r="M91" i="1"/>
  <c r="J91" i="1"/>
  <c r="O90" i="1"/>
  <c r="N90" i="1"/>
  <c r="M90" i="1"/>
  <c r="J90" i="1"/>
  <c r="J87" i="1" s="1"/>
  <c r="J82" i="1" s="1"/>
  <c r="J81" i="1" s="1"/>
  <c r="O89" i="1"/>
  <c r="N89" i="1"/>
  <c r="M89" i="1"/>
  <c r="I89" i="1"/>
  <c r="H89" i="1"/>
  <c r="H88" i="1" s="1"/>
  <c r="H87" i="1" s="1"/>
  <c r="G89" i="1"/>
  <c r="G88" i="1" s="1"/>
  <c r="G87" i="1" s="1"/>
  <c r="O88" i="1"/>
  <c r="N88" i="1"/>
  <c r="M88" i="1"/>
  <c r="K88" i="1"/>
  <c r="K87" i="1" s="1"/>
  <c r="I88" i="1"/>
  <c r="P87" i="1"/>
  <c r="L87" i="1"/>
  <c r="F87" i="1"/>
  <c r="O86" i="1"/>
  <c r="O85" i="1" s="1"/>
  <c r="N86" i="1"/>
  <c r="N85" i="1" s="1"/>
  <c r="M86" i="1"/>
  <c r="M85" i="1" s="1"/>
  <c r="I86" i="1"/>
  <c r="I85" i="1" s="1"/>
  <c r="P85" i="1"/>
  <c r="L85" i="1"/>
  <c r="K85" i="1"/>
  <c r="J85" i="1"/>
  <c r="H85" i="1"/>
  <c r="G85" i="1"/>
  <c r="F85" i="1"/>
  <c r="F82" i="1" s="1"/>
  <c r="F81" i="1" s="1"/>
  <c r="N84" i="1"/>
  <c r="M84" i="1"/>
  <c r="P83" i="1"/>
  <c r="O83" i="1"/>
  <c r="N83" i="1"/>
  <c r="M83" i="1"/>
  <c r="L83" i="1"/>
  <c r="I83" i="1"/>
  <c r="F83" i="1"/>
  <c r="H81" i="1"/>
  <c r="G81" i="1"/>
  <c r="P78" i="1"/>
  <c r="O78" i="1"/>
  <c r="N78" i="1"/>
  <c r="M78" i="1"/>
  <c r="P77" i="1"/>
  <c r="P76" i="1" s="1"/>
  <c r="O77" i="1"/>
  <c r="N77" i="1"/>
  <c r="N76" i="1" s="1"/>
  <c r="M77" i="1"/>
  <c r="M76" i="1" s="1"/>
  <c r="O76" i="1"/>
  <c r="K76" i="1"/>
  <c r="J76" i="1"/>
  <c r="I76" i="1"/>
  <c r="H76" i="1"/>
  <c r="G76" i="1"/>
  <c r="F76" i="1"/>
  <c r="P75" i="1"/>
  <c r="O75" i="1"/>
  <c r="N75" i="1"/>
  <c r="M75" i="1"/>
  <c r="P74" i="1"/>
  <c r="O74" i="1"/>
  <c r="N74" i="1"/>
  <c r="M74" i="1"/>
  <c r="P73" i="1"/>
  <c r="O73" i="1"/>
  <c r="N73" i="1"/>
  <c r="M73" i="1"/>
  <c r="P72" i="1"/>
  <c r="O72" i="1"/>
  <c r="N72" i="1"/>
  <c r="N71" i="1" s="1"/>
  <c r="M72" i="1"/>
  <c r="M71" i="1" s="1"/>
  <c r="P71" i="1"/>
  <c r="O71" i="1"/>
  <c r="K71" i="1"/>
  <c r="J71" i="1"/>
  <c r="I71" i="1"/>
  <c r="H71" i="1"/>
  <c r="G71" i="1"/>
  <c r="F71" i="1"/>
  <c r="N70" i="1"/>
  <c r="M70" i="1"/>
  <c r="N69" i="1"/>
  <c r="M69" i="1"/>
  <c r="N68" i="1"/>
  <c r="M68" i="1"/>
  <c r="P67" i="1"/>
  <c r="O67" i="1"/>
  <c r="O66" i="1" s="1"/>
  <c r="K67" i="1"/>
  <c r="K66" i="1" s="1"/>
  <c r="K65" i="1" s="1"/>
  <c r="K64" i="1" s="1"/>
  <c r="J67" i="1"/>
  <c r="J66" i="1" s="1"/>
  <c r="J65" i="1" s="1"/>
  <c r="J64" i="1" s="1"/>
  <c r="H67" i="1"/>
  <c r="H66" i="1" s="1"/>
  <c r="G67" i="1"/>
  <c r="G66" i="1" s="1"/>
  <c r="G65" i="1" s="1"/>
  <c r="F67" i="1"/>
  <c r="F66" i="1" s="1"/>
  <c r="C67" i="1"/>
  <c r="P66" i="1"/>
  <c r="F65" i="1"/>
  <c r="F64" i="1" s="1"/>
  <c r="L64" i="1"/>
  <c r="H64" i="1"/>
  <c r="G64" i="1"/>
  <c r="P62" i="1"/>
  <c r="N62" i="1"/>
  <c r="N61" i="1" s="1"/>
  <c r="N60" i="1" s="1"/>
  <c r="M62" i="1"/>
  <c r="I62" i="1"/>
  <c r="I61" i="1" s="1"/>
  <c r="I60" i="1" s="1"/>
  <c r="P61" i="1"/>
  <c r="P60" i="1" s="1"/>
  <c r="O61" i="1"/>
  <c r="O60" i="1" s="1"/>
  <c r="M61" i="1"/>
  <c r="M60" i="1" s="1"/>
  <c r="L61" i="1"/>
  <c r="L60" i="1" s="1"/>
  <c r="K61" i="1"/>
  <c r="K60" i="1" s="1"/>
  <c r="J61" i="1"/>
  <c r="J60" i="1" s="1"/>
  <c r="H61" i="1"/>
  <c r="H60" i="1" s="1"/>
  <c r="G61" i="1"/>
  <c r="G60" i="1" s="1"/>
  <c r="F61" i="1"/>
  <c r="F60" i="1" s="1"/>
  <c r="O58" i="1"/>
  <c r="O57" i="1" s="1"/>
  <c r="N58" i="1"/>
  <c r="M58" i="1"/>
  <c r="M57" i="1" s="1"/>
  <c r="I58" i="1"/>
  <c r="P57" i="1"/>
  <c r="N57" i="1"/>
  <c r="L57" i="1"/>
  <c r="K57" i="1"/>
  <c r="J57" i="1"/>
  <c r="H57" i="1"/>
  <c r="G57" i="1"/>
  <c r="O56" i="1"/>
  <c r="N56" i="1"/>
  <c r="M56" i="1"/>
  <c r="I56" i="1"/>
  <c r="F56" i="1" s="1"/>
  <c r="O55" i="1"/>
  <c r="O54" i="1" s="1"/>
  <c r="N55" i="1"/>
  <c r="N54" i="1" s="1"/>
  <c r="M55" i="1"/>
  <c r="M54" i="1" s="1"/>
  <c r="I55" i="1"/>
  <c r="F55" i="1"/>
  <c r="P54" i="1"/>
  <c r="L54" i="1"/>
  <c r="K54" i="1"/>
  <c r="J54" i="1"/>
  <c r="I54" i="1"/>
  <c r="H54" i="1"/>
  <c r="G54" i="1"/>
  <c r="O53" i="1"/>
  <c r="O52" i="1" s="1"/>
  <c r="N53" i="1"/>
  <c r="N52" i="1" s="1"/>
  <c r="N51" i="1" s="1"/>
  <c r="M53" i="1"/>
  <c r="M52" i="1" s="1"/>
  <c r="F52" i="1"/>
  <c r="P52" i="1"/>
  <c r="L52" i="1"/>
  <c r="K52" i="1"/>
  <c r="J52" i="1"/>
  <c r="I52" i="1"/>
  <c r="H52" i="1"/>
  <c r="G52" i="1"/>
  <c r="O49" i="1"/>
  <c r="O48" i="1" s="1"/>
  <c r="N49" i="1"/>
  <c r="N48" i="1" s="1"/>
  <c r="M49" i="1"/>
  <c r="M48" i="1" s="1"/>
  <c r="I49" i="1"/>
  <c r="P48" i="1"/>
  <c r="L48" i="1"/>
  <c r="K48" i="1"/>
  <c r="J48" i="1"/>
  <c r="H48" i="1"/>
  <c r="G48" i="1"/>
  <c r="O47" i="1"/>
  <c r="O46" i="1" s="1"/>
  <c r="N47" i="1"/>
  <c r="N46" i="1" s="1"/>
  <c r="M47" i="1"/>
  <c r="M46" i="1" s="1"/>
  <c r="J47" i="1"/>
  <c r="F47" i="1" s="1"/>
  <c r="F46" i="1" s="1"/>
  <c r="P46" i="1"/>
  <c r="L46" i="1"/>
  <c r="K46" i="1"/>
  <c r="I46" i="1"/>
  <c r="H46" i="1"/>
  <c r="G46" i="1"/>
  <c r="O45" i="1"/>
  <c r="O44" i="1" s="1"/>
  <c r="N45" i="1"/>
  <c r="N44" i="1" s="1"/>
  <c r="M45" i="1"/>
  <c r="M44" i="1" s="1"/>
  <c r="I45" i="1"/>
  <c r="P44" i="1"/>
  <c r="K44" i="1"/>
  <c r="J44" i="1"/>
  <c r="H44" i="1"/>
  <c r="G44" i="1"/>
  <c r="O43" i="1"/>
  <c r="N43" i="1"/>
  <c r="M43" i="1"/>
  <c r="I43" i="1"/>
  <c r="F43" i="1" s="1"/>
  <c r="O42" i="1"/>
  <c r="N42" i="1"/>
  <c r="M42" i="1"/>
  <c r="J42" i="1"/>
  <c r="F42" i="1"/>
  <c r="O41" i="1"/>
  <c r="N41" i="1"/>
  <c r="M41" i="1"/>
  <c r="J41" i="1"/>
  <c r="J40" i="1" s="1"/>
  <c r="P40" i="1"/>
  <c r="L40" i="1"/>
  <c r="K40" i="1"/>
  <c r="I40" i="1"/>
  <c r="H40" i="1"/>
  <c r="G40" i="1"/>
  <c r="D40" i="1"/>
  <c r="O39" i="1"/>
  <c r="N39" i="1"/>
  <c r="M39" i="1"/>
  <c r="J39" i="1"/>
  <c r="J37" i="1" s="1"/>
  <c r="J35" i="1" s="1"/>
  <c r="O38" i="1"/>
  <c r="N38" i="1"/>
  <c r="M38" i="1"/>
  <c r="I38" i="1"/>
  <c r="P37" i="1"/>
  <c r="P35" i="1" s="1"/>
  <c r="N37" i="1"/>
  <c r="L37" i="1"/>
  <c r="L35" i="1" s="1"/>
  <c r="K37" i="1"/>
  <c r="H37" i="1"/>
  <c r="H35" i="1" s="1"/>
  <c r="G37" i="1"/>
  <c r="G35" i="1" s="1"/>
  <c r="N36" i="1"/>
  <c r="M36" i="1"/>
  <c r="F36" i="1"/>
  <c r="K35" i="1"/>
  <c r="O32" i="1"/>
  <c r="O31" i="1" s="1"/>
  <c r="N32" i="1"/>
  <c r="N31" i="1" s="1"/>
  <c r="M32" i="1"/>
  <c r="M31" i="1" s="1"/>
  <c r="L31" i="1"/>
  <c r="K31" i="1"/>
  <c r="J31" i="1"/>
  <c r="I31" i="1"/>
  <c r="H31" i="1"/>
  <c r="G31" i="1"/>
  <c r="F31" i="1"/>
  <c r="O30" i="1"/>
  <c r="O29" i="1" s="1"/>
  <c r="N30" i="1"/>
  <c r="N29" i="1" s="1"/>
  <c r="M30" i="1"/>
  <c r="M29" i="1" s="1"/>
  <c r="L29" i="1"/>
  <c r="K29" i="1"/>
  <c r="J29" i="1"/>
  <c r="I29" i="1"/>
  <c r="H29" i="1"/>
  <c r="G29" i="1"/>
  <c r="F29" i="1"/>
  <c r="O28" i="1"/>
  <c r="O27" i="1" s="1"/>
  <c r="N28" i="1"/>
  <c r="N27" i="1" s="1"/>
  <c r="M28" i="1"/>
  <c r="M27" i="1" s="1"/>
  <c r="L27" i="1"/>
  <c r="K27" i="1"/>
  <c r="J27" i="1"/>
  <c r="I27" i="1"/>
  <c r="H27" i="1"/>
  <c r="G27" i="1"/>
  <c r="F27" i="1"/>
  <c r="N26" i="1"/>
  <c r="N25" i="1" s="1"/>
  <c r="M26" i="1"/>
  <c r="M25" i="1" s="1"/>
  <c r="O25" i="1"/>
  <c r="L25" i="1"/>
  <c r="K25" i="1"/>
  <c r="J25" i="1"/>
  <c r="I25" i="1"/>
  <c r="H25" i="1"/>
  <c r="G25" i="1"/>
  <c r="P24" i="1"/>
  <c r="P22" i="1"/>
  <c r="P21" i="1" s="1"/>
  <c r="N22" i="1"/>
  <c r="M22" i="1"/>
  <c r="M21" i="1" s="1"/>
  <c r="F22" i="1"/>
  <c r="F21" i="1" s="1"/>
  <c r="O21" i="1"/>
  <c r="N21" i="1"/>
  <c r="K21" i="1"/>
  <c r="J21" i="1"/>
  <c r="I21" i="1"/>
  <c r="H21" i="1"/>
  <c r="G21" i="1"/>
  <c r="O20" i="1"/>
  <c r="N20" i="1"/>
  <c r="M20" i="1"/>
  <c r="F20" i="1"/>
  <c r="L19" i="1"/>
  <c r="M19" i="1" s="1"/>
  <c r="O18" i="1"/>
  <c r="N18" i="1"/>
  <c r="M18" i="1"/>
  <c r="F18" i="1"/>
  <c r="O17" i="1"/>
  <c r="N17" i="1"/>
  <c r="M17" i="1"/>
  <c r="F17" i="1"/>
  <c r="K16" i="1"/>
  <c r="J16" i="1"/>
  <c r="J15" i="1" s="1"/>
  <c r="I16" i="1"/>
  <c r="I15" i="1" s="1"/>
  <c r="P15" i="1"/>
  <c r="K15" i="1"/>
  <c r="H15" i="1"/>
  <c r="G15" i="1"/>
  <c r="N14" i="1"/>
  <c r="M14" i="1"/>
  <c r="J14" i="1"/>
  <c r="N13" i="1"/>
  <c r="M13" i="1"/>
  <c r="N12" i="1"/>
  <c r="M12" i="1"/>
  <c r="F12" i="1"/>
  <c r="P11" i="1"/>
  <c r="P10" i="1" s="1"/>
  <c r="O11" i="1"/>
  <c r="O10" i="1" s="1"/>
  <c r="L11" i="1"/>
  <c r="L10" i="1" s="1"/>
  <c r="K11" i="1"/>
  <c r="K10" i="1" s="1"/>
  <c r="I11" i="1"/>
  <c r="I10" i="1" s="1"/>
  <c r="H10" i="1"/>
  <c r="G10" i="1"/>
  <c r="N93" i="1" l="1"/>
  <c r="P120" i="1"/>
  <c r="P119" i="1" s="1"/>
  <c r="P118" i="1" s="1"/>
  <c r="J135" i="1"/>
  <c r="H235" i="1"/>
  <c r="H51" i="1"/>
  <c r="L51" i="1"/>
  <c r="K135" i="1"/>
  <c r="K202" i="1"/>
  <c r="K201" i="1" s="1"/>
  <c r="I206" i="1"/>
  <c r="I201" i="1" s="1"/>
  <c r="N224" i="1"/>
  <c r="P9" i="1"/>
  <c r="P93" i="1"/>
  <c r="N130" i="1"/>
  <c r="N118" i="1" s="1"/>
  <c r="O170" i="1"/>
  <c r="K9" i="1"/>
  <c r="I24" i="1"/>
  <c r="M40" i="1"/>
  <c r="J51" i="1"/>
  <c r="K170" i="1"/>
  <c r="P249" i="1"/>
  <c r="P235" i="1" s="1"/>
  <c r="F24" i="1"/>
  <c r="G24" i="1"/>
  <c r="H34" i="1"/>
  <c r="K51" i="1"/>
  <c r="H103" i="1"/>
  <c r="I106" i="1"/>
  <c r="I103" i="1" s="1"/>
  <c r="G118" i="1"/>
  <c r="I118" i="1"/>
  <c r="M130" i="1"/>
  <c r="H153" i="1"/>
  <c r="M154" i="1"/>
  <c r="L154" i="1"/>
  <c r="L153" i="1" s="1"/>
  <c r="N196" i="1"/>
  <c r="K231" i="1"/>
  <c r="O238" i="1"/>
  <c r="N238" i="1"/>
  <c r="O146" i="1"/>
  <c r="H82" i="1"/>
  <c r="M16" i="1"/>
  <c r="M15" i="1" s="1"/>
  <c r="O65" i="1"/>
  <c r="O64" i="1" s="1"/>
  <c r="N154" i="1"/>
  <c r="N153" i="1" s="1"/>
  <c r="O196" i="1"/>
  <c r="N202" i="1"/>
  <c r="M206" i="1"/>
  <c r="M201" i="1" s="1"/>
  <c r="M200" i="1" s="1"/>
  <c r="K235" i="1"/>
  <c r="O37" i="1"/>
  <c r="O35" i="1" s="1"/>
  <c r="K113" i="1"/>
  <c r="O145" i="1"/>
  <c r="L143" i="1"/>
  <c r="L135" i="1" s="1"/>
  <c r="M11" i="1"/>
  <c r="M10" i="1" s="1"/>
  <c r="J24" i="1"/>
  <c r="G34" i="1"/>
  <c r="N35" i="1"/>
  <c r="H65" i="1"/>
  <c r="P82" i="1"/>
  <c r="P81" i="1" s="1"/>
  <c r="G103" i="1"/>
  <c r="P103" i="1"/>
  <c r="O118" i="1"/>
  <c r="F144" i="1"/>
  <c r="G170" i="1"/>
  <c r="J202" i="1"/>
  <c r="J201" i="1" s="1"/>
  <c r="F224" i="1"/>
  <c r="F200" i="1" s="1"/>
  <c r="F199" i="1" s="1"/>
  <c r="L236" i="1"/>
  <c r="M237" i="1"/>
  <c r="M236" i="1" s="1"/>
  <c r="M160" i="1"/>
  <c r="M153" i="1" s="1"/>
  <c r="N249" i="1"/>
  <c r="N19" i="1"/>
  <c r="O24" i="1"/>
  <c r="P34" i="1"/>
  <c r="L44" i="1"/>
  <c r="M67" i="1"/>
  <c r="M66" i="1" s="1"/>
  <c r="M65" i="1" s="1"/>
  <c r="M64" i="1" s="1"/>
  <c r="I87" i="1"/>
  <c r="I82" i="1" s="1"/>
  <c r="I81" i="1" s="1"/>
  <c r="O87" i="1"/>
  <c r="O82" i="1" s="1"/>
  <c r="O81" i="1" s="1"/>
  <c r="M87" i="1"/>
  <c r="M82" i="1" s="1"/>
  <c r="M81" i="1" s="1"/>
  <c r="I104" i="1"/>
  <c r="J115" i="1"/>
  <c r="I160" i="1"/>
  <c r="N206" i="1"/>
  <c r="N201" i="1" s="1"/>
  <c r="N200" i="1" s="1"/>
  <c r="K228" i="1"/>
  <c r="J235" i="1"/>
  <c r="L238" i="1"/>
  <c r="P238" i="1"/>
  <c r="M238" i="1"/>
  <c r="I238" i="1"/>
  <c r="O249" i="1"/>
  <c r="M145" i="1"/>
  <c r="M143" i="1" s="1"/>
  <c r="L170" i="1"/>
  <c r="N16" i="1"/>
  <c r="N15" i="1" s="1"/>
  <c r="O19" i="1"/>
  <c r="O16" i="1" s="1"/>
  <c r="O15" i="1" s="1"/>
  <c r="O9" i="1" s="1"/>
  <c r="M24" i="1"/>
  <c r="F39" i="1"/>
  <c r="N40" i="1"/>
  <c r="N67" i="1"/>
  <c r="N66" i="1" s="1"/>
  <c r="N65" i="1" s="1"/>
  <c r="N64" i="1" s="1"/>
  <c r="I67" i="1"/>
  <c r="I66" i="1" s="1"/>
  <c r="I65" i="1" s="1"/>
  <c r="I64" i="1" s="1"/>
  <c r="P65" i="1"/>
  <c r="P64" i="1" s="1"/>
  <c r="G82" i="1"/>
  <c r="N87" i="1"/>
  <c r="N82" i="1" s="1"/>
  <c r="N81" i="1" s="1"/>
  <c r="K93" i="1"/>
  <c r="I93" i="1"/>
  <c r="M106" i="1"/>
  <c r="M103" i="1" s="1"/>
  <c r="K118" i="1"/>
  <c r="F118" i="1"/>
  <c r="N137" i="1"/>
  <c r="N136" i="1" s="1"/>
  <c r="N135" i="1" s="1"/>
  <c r="F147" i="1"/>
  <c r="G153" i="1"/>
  <c r="K153" i="1"/>
  <c r="M202" i="1"/>
  <c r="F206" i="1"/>
  <c r="F235" i="1"/>
  <c r="N146" i="1"/>
  <c r="N143" i="1" s="1"/>
  <c r="G51" i="1"/>
  <c r="I9" i="1"/>
  <c r="N11" i="1"/>
  <c r="N10" i="1" s="1"/>
  <c r="L16" i="1"/>
  <c r="L15" i="1" s="1"/>
  <c r="L9" i="1" s="1"/>
  <c r="F16" i="1"/>
  <c r="F15" i="1" s="1"/>
  <c r="K24" i="1"/>
  <c r="M37" i="1"/>
  <c r="M35" i="1" s="1"/>
  <c r="M34" i="1" s="1"/>
  <c r="F41" i="1"/>
  <c r="O40" i="1"/>
  <c r="O34" i="1" s="1"/>
  <c r="P51" i="1"/>
  <c r="O51" i="1"/>
  <c r="L82" i="1"/>
  <c r="L81" i="1" s="1"/>
  <c r="L94" i="1"/>
  <c r="L93" i="1" s="1"/>
  <c r="N106" i="1"/>
  <c r="N103" i="1" s="1"/>
  <c r="M118" i="1"/>
  <c r="I158" i="1"/>
  <c r="I154" i="1" s="1"/>
  <c r="J181" i="1"/>
  <c r="J170" i="1" s="1"/>
  <c r="O200" i="1"/>
  <c r="P224" i="1"/>
  <c r="P200" i="1" s="1"/>
  <c r="J231" i="1"/>
  <c r="M249" i="1"/>
  <c r="I249" i="1"/>
  <c r="H135" i="1"/>
  <c r="M137" i="1"/>
  <c r="M136" i="1" s="1"/>
  <c r="M135" i="1" s="1"/>
  <c r="R135" i="1" s="1"/>
  <c r="N174" i="1"/>
  <c r="N170" i="1" s="1"/>
  <c r="M174" i="1"/>
  <c r="M170" i="1" s="1"/>
  <c r="L201" i="1"/>
  <c r="L200" i="1" s="1"/>
  <c r="F40" i="1"/>
  <c r="N24" i="1"/>
  <c r="L34" i="1"/>
  <c r="F38" i="1"/>
  <c r="I37" i="1"/>
  <c r="F37" i="1" s="1"/>
  <c r="F35" i="1" s="1"/>
  <c r="H24" i="1"/>
  <c r="F49" i="1"/>
  <c r="F48" i="1" s="1"/>
  <c r="I48" i="1"/>
  <c r="F54" i="1"/>
  <c r="M93" i="1"/>
  <c r="R93" i="1" s="1"/>
  <c r="F161" i="1"/>
  <c r="F160" i="1" s="1"/>
  <c r="F153" i="1" s="1"/>
  <c r="J160" i="1"/>
  <c r="J153" i="1" s="1"/>
  <c r="F14" i="1"/>
  <c r="F11" i="1" s="1"/>
  <c r="F10" i="1" s="1"/>
  <c r="F9" i="1" s="1"/>
  <c r="J11" i="1"/>
  <c r="J10" i="1" s="1"/>
  <c r="J9" i="1" s="1"/>
  <c r="F58" i="1"/>
  <c r="F57" i="1" s="1"/>
  <c r="I57" i="1"/>
  <c r="I51" i="1" s="1"/>
  <c r="L24" i="1"/>
  <c r="M51" i="1"/>
  <c r="K34" i="1"/>
  <c r="F45" i="1"/>
  <c r="I44" i="1"/>
  <c r="F44" i="1" s="1"/>
  <c r="J46" i="1"/>
  <c r="J34" i="1" s="1"/>
  <c r="K82" i="1"/>
  <c r="K81" i="1" s="1"/>
  <c r="I146" i="1"/>
  <c r="F146" i="1" s="1"/>
  <c r="N235" i="1"/>
  <c r="F106" i="1"/>
  <c r="F103" i="1" s="1"/>
  <c r="O106" i="1"/>
  <c r="O103" i="1" s="1"/>
  <c r="G136" i="1"/>
  <c r="G135" i="1" s="1"/>
  <c r="O160" i="1"/>
  <c r="O153" i="1" s="1"/>
  <c r="F176" i="1"/>
  <c r="F174" i="1" s="1"/>
  <c r="F170" i="1" s="1"/>
  <c r="I174" i="1"/>
  <c r="I170" i="1" s="1"/>
  <c r="F202" i="1"/>
  <c r="F228" i="1"/>
  <c r="J106" i="1"/>
  <c r="I145" i="1"/>
  <c r="F145" i="1" s="1"/>
  <c r="I150" i="1"/>
  <c r="K106" i="1"/>
  <c r="I137" i="1"/>
  <c r="I136" i="1" s="1"/>
  <c r="M235" i="1" l="1"/>
  <c r="O143" i="1"/>
  <c r="O135" i="1" s="1"/>
  <c r="N34" i="1"/>
  <c r="N8" i="1" s="1"/>
  <c r="O235" i="1"/>
  <c r="O8" i="1" s="1"/>
  <c r="F143" i="1"/>
  <c r="I235" i="1"/>
  <c r="L235" i="1"/>
  <c r="L8" i="1" s="1"/>
  <c r="F150" i="1"/>
  <c r="F201" i="1"/>
  <c r="N9" i="1"/>
  <c r="M9" i="1"/>
  <c r="J103" i="1"/>
  <c r="J8" i="1" s="1"/>
  <c r="K103" i="1"/>
  <c r="I143" i="1"/>
  <c r="I135" i="1" s="1"/>
  <c r="K8" i="1"/>
  <c r="P8" i="1"/>
  <c r="F51" i="1"/>
  <c r="I153" i="1"/>
  <c r="F137" i="1"/>
  <c r="F136" i="1" s="1"/>
  <c r="F34" i="1"/>
  <c r="M8" i="1"/>
  <c r="I35" i="1"/>
  <c r="I34" i="1" s="1"/>
  <c r="F135" i="1" l="1"/>
  <c r="I8" i="1"/>
  <c r="F8" i="1"/>
</calcChain>
</file>

<file path=xl/sharedStrings.xml><?xml version="1.0" encoding="utf-8"?>
<sst xmlns="http://schemas.openxmlformats.org/spreadsheetml/2006/main" count="1093" uniqueCount="537">
  <si>
    <t>Đơn vị tính triệu đồng</t>
  </si>
  <si>
    <t>STT</t>
  </si>
  <si>
    <t>Nội dung thực hiện</t>
  </si>
  <si>
    <t>Khối lượng thực hiện</t>
  </si>
  <si>
    <t>ĐVT</t>
  </si>
  <si>
    <t>Phân loại</t>
  </si>
  <si>
    <t>Dự kiến Kế hoạch vốn đến 2025. Trong đó:</t>
  </si>
  <si>
    <t>Cơ cấu nguồn vốn</t>
  </si>
  <si>
    <t>Năm 2021</t>
  </si>
  <si>
    <t>Năm 2022</t>
  </si>
  <si>
    <t>Năm 2023</t>
  </si>
  <si>
    <t>Năm 2024</t>
  </si>
  <si>
    <t>Năm 2025</t>
  </si>
  <si>
    <t>Tổng vốn 2022-2025</t>
  </si>
  <si>
    <t>NS TW, tỉnh</t>
  </si>
  <si>
    <t>NS huyện</t>
  </si>
  <si>
    <t>NS xã</t>
  </si>
  <si>
    <t>Huy động</t>
  </si>
  <si>
    <t>A</t>
  </si>
  <si>
    <t>VỐN ĐẦU TƯ PHÁT TRIỂN*</t>
  </si>
  <si>
    <t>I</t>
  </si>
  <si>
    <t>XÃ TAM XUÂN 1</t>
  </si>
  <si>
    <t>Giao thông</t>
  </si>
  <si>
    <t xml:space="preserve">Kiên cố hóa các tuyến đường GTNT </t>
  </si>
  <si>
    <t>Tuyến từ Ngõ bà Nguyễn Thị Hiệp đến ngõ ông Võ Xuân Chung.(thôn Bích An)</t>
  </si>
  <si>
    <t>km</t>
  </si>
  <si>
    <t>-</t>
  </si>
  <si>
    <t>Tuyến từ Kênh N1- nhà bà Thăng ( Khương Mỹ)</t>
  </si>
  <si>
    <t>Thủy lợi</t>
  </si>
  <si>
    <t>KCH kênh mương loại 3</t>
  </si>
  <si>
    <t xml:space="preserve">Hội trường thôn Phú Đông- Sa Đầm (thôn Phú Đông). </t>
  </si>
  <si>
    <t>40X40</t>
  </si>
  <si>
    <t>Kênh N3-2 đến nhà ông Bộ ( thôn Phú Trung Đông).</t>
  </si>
  <si>
    <t>40X50</t>
  </si>
  <si>
    <t>Đường cao tốc- nhà ông Lượng ( thôn Bích An).</t>
  </si>
  <si>
    <t>BTH kênh nội đồng: Ruộng Luông- bàu Vó (thôn Bích Trung)</t>
  </si>
  <si>
    <t>Cơ sở vật chất văn hóa</t>
  </si>
  <si>
    <t>,-</t>
  </si>
  <si>
    <t>Nhà văn hóa Phú Đông_HM: Nâng cấp sân nền, tường rào, cổng ngõ nhà văn hóa</t>
  </si>
  <si>
    <t>CT</t>
  </si>
  <si>
    <t>II</t>
  </si>
  <si>
    <t>XÃ TAM XUÂN 2</t>
  </si>
  <si>
    <t>Cầu qua kênh Vĩnh An Nam</t>
  </si>
  <si>
    <t>cầu</t>
  </si>
  <si>
    <t>Đê bao bờ Bắc đập Passcal (giai đoạn 2)</t>
  </si>
  <si>
    <t>m</t>
  </si>
  <si>
    <t>Trường học</t>
  </si>
  <si>
    <t>Trường Nguyễn Văn Trổi (cơ sở Vĩnh An), hạng mục: Cải tạo cảnh quang trước cổng trường</t>
  </si>
  <si>
    <t>m2</t>
  </si>
  <si>
    <t>Khán đài sân vận động xã</t>
  </si>
  <si>
    <t>Khán đài</t>
  </si>
  <si>
    <t>III</t>
  </si>
  <si>
    <t>XÃ TAM ANH BẮC</t>
  </si>
  <si>
    <t>Bê tông GTNT tuyến từ ngã ba HTX Thuận An đến đường đi Trạm bơm
(3m + 3 cống thoát nước) thôn Thuận An</t>
  </si>
  <si>
    <t>Cứng hóa giao thông nội đồng</t>
  </si>
  <si>
    <t>Từ Gò ông 9 Chung - 7 Sen (Trà Lý)</t>
  </si>
  <si>
    <t>BT_đường 2m</t>
  </si>
  <si>
    <t>Ông Tư- Ông Sỹ (Đồng giếng méo đội 7- Đức Bố 1)</t>
  </si>
  <si>
    <t xml:space="preserve"> Thủy lợi</t>
  </si>
  <si>
    <t>Kênh N29.3.2.4 (Thuận An)</t>
  </si>
  <si>
    <t>Kênh N286 Đội 2 - Đồng Bộng (Đức Bố 1)</t>
  </si>
  <si>
    <t>Kênh N293.1.1 (Nhất) - Đập Lân (Trà Lý)</t>
  </si>
  <si>
    <t>Nhà ăn trường Tiểu học Trần Văn Ơn</t>
  </si>
  <si>
    <t>Môi trường</t>
  </si>
  <si>
    <t>Mương thoát nước Khu Trung tâm hành chính xã
(140x120)</t>
  </si>
  <si>
    <t>Điện</t>
  </si>
  <si>
    <t>Điện thắp sáng các tuyến đường ngõ xóm (điện năng lượng mặt trời)</t>
  </si>
  <si>
    <t>trụ+ bóng</t>
  </si>
  <si>
    <t>IV</t>
  </si>
  <si>
    <t>XÃ TAM ANH NAM</t>
  </si>
  <si>
    <t>Trường TH Nguyễn Hiền (Cơ sở chính- Xuân Ngọc)_HM: Nhà bếp ăn bán trú; Nhà bếp diện tích khoảng 60 m2, nhà ăn diện tích khoảng 200 m2</t>
  </si>
  <si>
    <t>Nhà VH Tiên Xuân 1_HM: Nâng cấp sân sinh hoạt văn hóa thôn Tiên Xuân 1; Lát gạch SV, bồn hoa, cây xanh diện tích 900 m2, hệ thống điện chiếu sáng nền sân, lắp đặt dụng cụ thể dục thể thao.</t>
  </si>
  <si>
    <t>Cảnh quan Môi trường</t>
  </si>
  <si>
    <t>Cảnh quan Môi trường_Khu sinh hoạt cộng đồng Xuân Trì, Tiên Xuân 2_HM: Lát gạch SV, bồn hoa, cây xanh diện tích 735 m2, lắp đặt  hệ thống điện chiếu sáng, Xây kè chăn đất dài 43m, xây tường rào, bồn hoa, cây xanh..</t>
  </si>
  <si>
    <t>V</t>
  </si>
  <si>
    <t>XÃ TAM NGHĨA</t>
  </si>
  <si>
    <t>Hệ thống thoát nước khu dân cư thôn An Long (Cụm Long Phú)</t>
  </si>
  <si>
    <t>0,7</t>
  </si>
  <si>
    <t>VI</t>
  </si>
  <si>
    <t>TAM QUANG</t>
  </si>
  <si>
    <t>Vốn NTM theo kế hoạch trung hạn giai đoạn 2021-2025</t>
  </si>
  <si>
    <t>Đường ngõ xóm</t>
  </si>
  <si>
    <t>1.1</t>
  </si>
  <si>
    <t>Tuyến đường từ nhà ông Châu Khánh Hiền đến nhà ông Phạm Chút thôn Thanh Long</t>
  </si>
  <si>
    <t>1.2</t>
  </si>
  <si>
    <t>Tuyến đường từ ĐT618  đến nhà Ông Bùi Sanh Thôn Xuân Trung</t>
  </si>
  <si>
    <t>1.3</t>
  </si>
  <si>
    <t>Tuyến đường từ ĐH6 đến nhà ông Huỳnh Nghị thôn Xuân Trung</t>
  </si>
  <si>
    <t>2.1</t>
  </si>
  <si>
    <t>Hệ thống điện chiếu sáng tuyến đường từ Lăng Ông đến Nhà văn hóa thôn An Hải Tây</t>
  </si>
  <si>
    <t>2.2</t>
  </si>
  <si>
    <t>Hệ thống điện chiếu sáng Khu dân cư tổ 3 thôn Sâm Linh Đông</t>
  </si>
  <si>
    <t>Hệ thống điện chiếu sáng tuyến đường từ Nhà văn hóa Sâm Linh Đông đến cầu Sâm Linh Đông</t>
  </si>
  <si>
    <t>2.4</t>
  </si>
  <si>
    <t>Hệ thống điện chiếu sáng từ Đường nối Dung Quốc - Kỳ Hà đến nhà ông Lê Bá Hộ</t>
  </si>
  <si>
    <t>3.1</t>
  </si>
  <si>
    <t>Nhà Văn hoá thôn An Hải Tây. HM: Nền sân,  mương thoát nước, trồng cây xanh</t>
  </si>
  <si>
    <t>3.2</t>
  </si>
  <si>
    <t>Nhà Văn hoá thôn An Tây_ HM: Tường rào, cổng ngõ, bồn hoa, trồng cây xanh</t>
  </si>
  <si>
    <t>VII</t>
  </si>
  <si>
    <t>TAM HẢI</t>
  </si>
  <si>
    <t>Cấp đường loại C</t>
  </si>
  <si>
    <t>Hệ thống chiếu sáng trụ thôn, ngõ xóm, xóm Gành thôn Xuân Mỹ</t>
  </si>
  <si>
    <t>Hệ thống thoát nước thải khu dân cư thôn Thuận An, Đoạn: Nhà bà Khảm - Biển</t>
  </si>
  <si>
    <t>Hệ thống thoát nước thải khu dân cư thôn Thuận An, Đoạn: Nhà ông Tùng  - Nhà bà Ái</t>
  </si>
  <si>
    <t>Km</t>
  </si>
  <si>
    <t>Hệ thống thoát nước thải khu dân cư thôn Đông Tuần, Đoạn: Nhà ông  Nhiên - nhà bà Nghị</t>
  </si>
  <si>
    <t>Hệ thống thoát nước thải khu dân cư thôn Đông Tuần, Đoạn: Nhà bà Yến - sông</t>
  </si>
  <si>
    <t>KM</t>
  </si>
  <si>
    <t>TAM GIANG</t>
  </si>
  <si>
    <t>Hỗ trợ di dời các trụ điện nằm trong các tuyến giao thông sau khi mở rộng</t>
  </si>
  <si>
    <t>Xây dựng hệ thống điện chiếu sáng GTNT (năng lượng mặt trời)</t>
  </si>
  <si>
    <t>Hệ thống mương thoát nước từ Cống Đồng Quang đi cống ông Quyền</t>
  </si>
  <si>
    <t>Nâng cấp, sữa chữa tuyến kênh N541 (Loại III)</t>
  </si>
  <si>
    <t xml:space="preserve">Xây dựng bồn hoa và cây xanh các tuyến đường các khu dân cư nông thôn mới nâng cao </t>
  </si>
  <si>
    <t>IX</t>
  </si>
  <si>
    <t>XÃ TAM HÒA</t>
  </si>
  <si>
    <t xml:space="preserve"> -</t>
  </si>
  <si>
    <t>Kênh N2962- Bầu bát</t>
  </si>
  <si>
    <t>Nhà văn hóa thôn Bình An_HM: Lót gạch vỉa hè</t>
  </si>
  <si>
    <t>Thôn Bình An_HM: Lót gạch vỉa hè từ Nhà Ông Phục đến Nhà ông Cách)</t>
  </si>
  <si>
    <t>Nhà văn hóa Đông Thạnh_HM: Bê tông sân nhà văn hóa</t>
  </si>
  <si>
    <t>Nhà Văn hoá đa năng xã_Hạng mục: bê tông sân nền, bồn hoa, cây cảnh</t>
  </si>
  <si>
    <t>Sân bóng thôn Đông Thạnh. HM: Mương thoát nước và đường PICH sân vận động</t>
  </si>
  <si>
    <t>Xã Tam Hòa_HM: Cổng chào xã Tam Hòa</t>
  </si>
  <si>
    <t>Hệ thống điện chiếu sáng 2 thôn Đông Thạnh, Bình An</t>
  </si>
  <si>
    <t>Xây dựng cảnh quan môi trường các thôn: HM_trồng cây xanh</t>
  </si>
  <si>
    <t>X</t>
  </si>
  <si>
    <t>XÃ TAM TIẾN</t>
  </si>
  <si>
    <t>Đường giao thông nội đồng</t>
  </si>
  <si>
    <t>Đường mương chợ đến giáp đê mới thôn Tân Lộc Ngọc</t>
  </si>
  <si>
    <t>Đường mương ông Kiệm đến giáp đập thôn Tân Lộc Ngọc</t>
  </si>
  <si>
    <t>Đường mương ông Nguyễn Tứ đến giáp mương trường thôn Tân Lộc Ngọc</t>
  </si>
  <si>
    <t>Đường mương ông Sum đến giáp đường giao thông nong thôn đò bà Đặng thôn Tân Lộc Ngọc</t>
  </si>
  <si>
    <t>Đường giữa đồng từ nhà văn hóa Bản Long đến trường Phan Bá Phiến thôn Long Thành</t>
  </si>
  <si>
    <t>Đối nối đường cây tra còn lại đến giáp đê thôn Long Thành</t>
  </si>
  <si>
    <t>Đối nối đường ông Thành còn lại đến giáp đê thôn Long Thành</t>
  </si>
  <si>
    <t>Đường bà Kỷ còn lại đến giáp đê thôn Long Thành</t>
  </si>
  <si>
    <t>Đối nối đường ông Uy còn lại đến giáp đê thôn Long Thành</t>
  </si>
  <si>
    <t>CSVCVH</t>
  </si>
  <si>
    <t xml:space="preserve">Nhà văn hóa thôn Ngọc An_ HM: Tường rào xanh thuộc khuôn viên </t>
  </si>
  <si>
    <t xml:space="preserve">Nhà văn hóa thôn Long Thạnh_ HM: Tường rào xanh thuộc khuôn viên </t>
  </si>
  <si>
    <t xml:space="preserve">Nhà văn hóa thôn Long Thành_ HM: Tường rào xanh thuộc khuôn viên </t>
  </si>
  <si>
    <t>XI</t>
  </si>
  <si>
    <t>XÃ TAM MỸ ĐÔNG</t>
  </si>
  <si>
    <t xml:space="preserve">Nâng cấp mở rộng các tuyến GTNT </t>
  </si>
  <si>
    <t xml:space="preserve"> +</t>
  </si>
  <si>
    <t>KCH tuyến Cây dúi- Ngõ Ông Chiêu</t>
  </si>
  <si>
    <t>Mở rộng, nâng cấp Ngõ ông Binh- Nhà văn hóa</t>
  </si>
  <si>
    <t>+</t>
  </si>
  <si>
    <t>Mở rộng</t>
  </si>
  <si>
    <t>KCH tuyến bê tông Ngõ ông Hoàng - Ngõ ông Trinh</t>
  </si>
  <si>
    <t>KCH tuyến kênh đập làng - Cầu Ván - Mã Ông Đức</t>
  </si>
  <si>
    <t>KCH tuyến kênh Cống Phan A - Ngõ Sạ</t>
  </si>
  <si>
    <t>KCH tuyến kênh Cầu Ván - Bàu Xằng</t>
  </si>
  <si>
    <t>KCH tuyến kênh Cầu Ván - Ngõ Hài</t>
  </si>
  <si>
    <t>Cải tạo, nâng cấp hệ thống lưới điện nông thôn</t>
  </si>
  <si>
    <t>Nhà văn hóa thôn Trà Tây - Hạng mục: xây dựng tường rào, cổng ngõ</t>
  </si>
  <si>
    <t>Khu vui chơi cộng đồng (giai đoạn 1) - Hạng mục: San nền, đường nội bộ và cây xanh</t>
  </si>
  <si>
    <t>Giáo dục</t>
  </si>
  <si>
    <t>XII</t>
  </si>
  <si>
    <t>XÃ TAM MỸ TÂY</t>
  </si>
  <si>
    <t>Cống đập - cây Da</t>
  </si>
  <si>
    <t>Cổng Chào - Cây Cốc (Tịnh Sơn)</t>
  </si>
  <si>
    <t>Đường giao thông nông thôn</t>
  </si>
  <si>
    <t>Ngõ Ông Mỹ - 4 Thuật</t>
  </si>
  <si>
    <t>Kênh BT Cửa khâu Bàu Đưng - Bàu Tây (KT 40*50)</t>
  </si>
  <si>
    <t>Kênh BT Cầu Vĩnh - Ngõ Xuyến (BTCT 40X50)</t>
  </si>
  <si>
    <t>Kênh BT Hóc Biểu - Ruộng( nối dài) (Đồng Cố) ( BTCT40X50)</t>
  </si>
  <si>
    <t>Kênh BT Đồng Mỡ ( nối dài) (BTCT 40X50)</t>
  </si>
  <si>
    <t>Gia cố tường rào trường Lê Văn Tâm</t>
  </si>
  <si>
    <t>cái</t>
  </si>
  <si>
    <t>Xây dựng mái che nhà đa năng trường Hoàng Thám</t>
  </si>
  <si>
    <t>Nâng cấp sân chơi cụm thôn Trung Lương trường Hoa Hồng</t>
  </si>
  <si>
    <t>sân</t>
  </si>
  <si>
    <t>XIII</t>
  </si>
  <si>
    <t>XÃ TAM THẠNH</t>
  </si>
  <si>
    <t>Ông Lợi - Ông Hải (thôn Đức Phú)</t>
  </si>
  <si>
    <t>Hệ thống mương thoát nước từ nhà ông Cao Xuân Bắc đến nhà ông Lê Thanh Trung (Trung Hòa) đoạn từ nhà ông Cao Xuân Bắc - nhà ông Hồ Văn Quang</t>
  </si>
  <si>
    <t>Hệ thống mương thoát nước từ nhà ông Cao Xuân Bắc đến nhà ông Lê Thanh Trung (Trung Hòa) đoạn từ nhà ông Hồ Minh Trà - nhà ông Lê Thanh Trung</t>
  </si>
  <si>
    <t>Hệ thống mương thoát nước từ ĐH3 đến Phú Thạnh (Đức Phú)</t>
  </si>
  <si>
    <t>Hệ thống mương thoát nước từ nhà ông Võ Ngọc Minh - Cầu Phú Hòa (Đức Phú) đoạn nhà ông Danh - Cầu Phú Hòa</t>
  </si>
  <si>
    <t>Hệ thống mương thoát nước từ nhà ông Võ Ngọc Minh - Cầu Phú Hòa (Đức Phú) đoạn nhà Ông Võ Ngọc Minh - Hồ Phú Thạnh</t>
  </si>
  <si>
    <t xml:space="preserve">Hệ thống mương thoát nước từ Cầu Phú Hòa - nhà bà Vạn (Đức Phú) </t>
  </si>
  <si>
    <t>Sữa chữa điện chiếu sáng từ nhà ông Nguyễn Thanh Tuấn - nhà bà Phương (Trường Thạnh)</t>
  </si>
  <si>
    <t>Hệ thống điện năng lượng mặt trời từ Nhà ông Lưu Bình - Cầu Giao Thủy</t>
  </si>
  <si>
    <t>Hệ thống điện năng lượng mặt trời từ giáp Đường ĐH3 - Phú Thạnh</t>
  </si>
  <si>
    <t>Hệ thống điện năng lượng khu vui chơi tại các thôn Trung Hòa (01), Đức Phú (02), Trường Thanh (01), Phước Thạnh (01)</t>
  </si>
  <si>
    <t>Khu</t>
  </si>
  <si>
    <t>Hệ thống điện năng lượng mặt trời từ nhà ông Lưu Hải - nhà ông Lê Văn Phúc</t>
  </si>
  <si>
    <t>Hệ thống điện năng lượng mặt trời từ nhà ông Ngô Quang Phát - nhà bà Trần Thị Thương (thôn Phước Thạnh)</t>
  </si>
  <si>
    <t>Hệ thống điện năng lượng mặt trời từ nhà ông Đông - ông Ngọc (thôn Trung Hòa)</t>
  </si>
  <si>
    <t>Hệ thống điện năng lượng mặt trời từ nhà ông Ngô Quang Tự - Khu Di tích (thôn Trung Hòa)</t>
  </si>
  <si>
    <t>Hệ thống điện năng lượng khuôn viên nghĩa trang liệt sỹ xã Tam Thạnh</t>
  </si>
  <si>
    <t>Hệ thống điện năng lượng mặt trời từ nhà ông Trịnh Công Trí - Nhà hóa thôn Trường Thạnh</t>
  </si>
  <si>
    <t>Đầu tư bếp ăn, nhà ăn  bán trú Trường TH Nguyễn Thị Minh Khai (CS Phước Thạnh)</t>
  </si>
  <si>
    <t>Sân bóng đá 5 người tại Trường TH Nguyễn Thị Minh Khai thôn Trung Hòa và thôn Phước Thạnh, Hạng muc: Sân, cỏ nhân tạo, lưới chắn, hệ thống điện</t>
  </si>
  <si>
    <t>xã</t>
  </si>
  <si>
    <t>Hệ thống trụ, lưới chắn, điện năng lượng Khu thể thao xã</t>
  </si>
  <si>
    <t>Trụ sở UBND xã</t>
  </si>
  <si>
    <t>Cải tạo hệ thống sân vườn (cây xanh, bồn hoa, sân, đường đi nội bộ, hệ thống điện)</t>
  </si>
  <si>
    <t>XIV</t>
  </si>
  <si>
    <t>XÃ TAM SƠN</t>
  </si>
  <si>
    <t>GTNT</t>
  </si>
  <si>
    <t>Đường trục xã</t>
  </si>
  <si>
    <t>Mở rộng, nâng cấp mặt đường tuyến Ngã 3 nhà ông Giang - nhà văn hóa Đức Phú(ngoài)</t>
  </si>
  <si>
    <t>Mở rộng, nâng cấp mặt đường tuyến Tuyến đường đào - Cầu Giếng giỏ thôn Danh Sơn</t>
  </si>
  <si>
    <t>Bê tông hoá tuyến đường vào Nghĩa trang nhân dân</t>
  </si>
  <si>
    <t>Bê tông hoá đường ngõ xóm trên địa bàn xã</t>
  </si>
  <si>
    <t>Bê tông tuyến nhà ông Lâm - nhà ông Sanh thôn Thuận Yên Tây</t>
  </si>
  <si>
    <t xml:space="preserve">Bê tông tuyến từ cầu nhà ông Ba - nhà 5 Lý thôn Đức Phú </t>
  </si>
  <si>
    <t>Bê tông tuyến nhà bà Nhị - nhà ông Quyền thôn Đức Phú</t>
  </si>
  <si>
    <t>Bê tuyến nhà ông Phan Đình Bường - Phạm Phú Quốc thôn Đức Phú</t>
  </si>
  <si>
    <t>Bê tuyến nhà ông Nguyễn Phước Lâm - Bùi Ngọc Sơn thôn Đức Phú</t>
  </si>
  <si>
    <t>Bê tông tuyến nhà ông Tòng - nhà ông Sơn thôn Thuận Yên Tây</t>
  </si>
  <si>
    <t>Bê tông tuyến nhà bà Hoa - nhà ông Tịnh thôn Mỹ Đông</t>
  </si>
  <si>
    <t>Bê tông tuyến nhà ông Khanh - nhà bà Tài thôn Mỹ Đông</t>
  </si>
  <si>
    <t>Bê tông tuyến Ông Sơn- Ông Lục thôn Mỹ Đông</t>
  </si>
  <si>
    <t>Bê tông tuyến nhà Hoa Đức - bà 6 Thân thôn Đức Phú</t>
  </si>
  <si>
    <t>Kênh mương Đồng ông Sắc giai đoạn 2 (Thuận Yên Tây)</t>
  </si>
  <si>
    <t>Kênh mương Đồng Ông Huê (Thuận Yên Đông)</t>
  </si>
  <si>
    <t>Đập Vũng Trâm và mương dẫn thôn Danh Sơn</t>
  </si>
  <si>
    <t>Nâng cấp hệ thống điện năng lượng tuyến từ Cầu Thuốc Hột đến Cổng chào thôn Thuận Yên Tây</t>
  </si>
  <si>
    <t>60/60</t>
  </si>
  <si>
    <t>bóng/trụ</t>
  </si>
  <si>
    <t>Nâng cấp hệ thống điện năng lương tuyến từ Cầu Thuốc Hột đến đèo Phường Tổng</t>
  </si>
  <si>
    <t>Nâng cấp hệ thống điện năng lượng các tuyến ĐX trên địa bàn xã Tam Sơn</t>
  </si>
  <si>
    <t>130/130</t>
  </si>
  <si>
    <t>Mở rộng, nâng cấp Khu thể thao thôn Danh Sơn. Hạng mục: Đường đi vào KTT, san ủi nền sân, lưới chắn bóng, Tường rào, dụng cụ thể thao)</t>
  </si>
  <si>
    <t>Kè bảo vệ Khu khuôn viên trụ sở UBND xã Tam Sơn. Hạng mục: Kè bảo vệ, lát gạch, đường bao, điện chiếu sáng, trồng cây, hệ thống thoát nước); Chỉnh trang khu trung tâm</t>
  </si>
  <si>
    <t>Xây mới Nghĩa trang nhân dân xã Tam Sơn</t>
  </si>
  <si>
    <t>XV</t>
  </si>
  <si>
    <t>XÃ TAM TRÀ</t>
  </si>
  <si>
    <t>Nâng cấp mặt đường và mương thoát nước tuyến đường bê tông trước nhà văn hóa thôn Phú Thọ (Cơ sở thôn 4 cũ)</t>
  </si>
  <si>
    <t>Hệ thống điện chiếu sáng các tuyến đường KDC thôn Phú Tân</t>
  </si>
  <si>
    <t>Hệ thống điện chiếu sáng các tuyến đường KDC  thôn Phú Tứ</t>
  </si>
  <si>
    <t>Hệ thống điện chiếu sáng các tuyến đường KDC thôn Phú Trường</t>
  </si>
  <si>
    <t>Hệ thống điện chiếu sáng các tuyến đường KDC thôn Phú Thọ</t>
  </si>
  <si>
    <t>Hệ thống điện chiếu sáng dọc đường ĐH8 từ thôn Phú Trường đi Tam Sơn</t>
  </si>
  <si>
    <t>Hệ thống điện chiếu sáng các điểm đấu nối đường DT617</t>
  </si>
  <si>
    <t>Nâng cấp sân thể thao, điện chiếu sáng, cây xanh (cơ sở chính), lát gạch nền sân, bồn hoa, cây xanh, thư viện ngoài trời, (cơ sở Phú Tứ), hệ thống điện chiếu sáng (cơ sở Phú Trường) - Trường TH Nguyễn Du</t>
  </si>
  <si>
    <t>Xây mới nhà ăn bán trú - Trường TH Nguyễn Du (Cơ sở chính)</t>
  </si>
  <si>
    <t xml:space="preserve">Lát gạch vỉa hè, bồn hoa, cây xanh, điện chiếu sáng (Cơ sở Phú Tứ), hệ thống điện chiếu sáng (Cơ sở Phú Trường)- Trường MG Phong Lan </t>
  </si>
  <si>
    <t>Khu sinh hoạt văn hóa thôn Phú Tứ (thôn 8 cũ).
Hạng mục: Tường rào mềm, mương thoát nước, sân vườn, bồn hoa, cây xanh, điện chiếu sáng sân vườn.</t>
  </si>
  <si>
    <t>Hệ thống thoát nước, trồng cây xanh sân thể thao thôn Phú Tân, Phú Trường</t>
  </si>
  <si>
    <t>Nâng cấp cảnh quan môi trường Khu trung tâm xã (Giai đoạn 3)</t>
  </si>
  <si>
    <t>Tường rào cổng ngõ, cây xanh sân thể thao xã</t>
  </si>
  <si>
    <t>Tường rào Khu trung tâm xã</t>
  </si>
  <si>
    <t>Xây mới nhà vệ sinh, giếng khoan nhà văn hoá thôn Trường Cửu 1 cũ</t>
  </si>
  <si>
    <t>Cấp đường loại B</t>
  </si>
  <si>
    <t>Ghi chú</t>
  </si>
  <si>
    <t>Nhà VH Tiên Xuân 2_HM: Nâng cấp sân sinh hoạt văn hóa thôn Tiên Xuân 2; Lát gạch SV, bồn hoa, cây xanh diện tích 700 m2, lắp đặt thêm hệ thống điện chiếu sáng, cải tạo phòng vệ sinh NVH thôn.</t>
  </si>
  <si>
    <t>Bê tông tuyến ĐH 8 - nhà bà Nguyễn Thị Hàng, Thuận yên Tây</t>
  </si>
  <si>
    <t>Bê tông tuyến Nguyễn Ngọc Sơn - Nguyễn Mỹ, Thuận Yên Tây</t>
  </si>
  <si>
    <t xml:space="preserve">ỦY BAN NHÂN DÂN </t>
  </si>
  <si>
    <t>HUYỆN NÚI THÀNH</t>
  </si>
  <si>
    <t>HUYỆN NÔNG THÔN MỚI</t>
  </si>
  <si>
    <t>Dự kiến Kế hoạch vốn đến 2024. Trong đó:</t>
  </si>
  <si>
    <t>Tổng vốn 2021-2025</t>
  </si>
  <si>
    <t>Đóng góp nhân dân</t>
  </si>
  <si>
    <t>QUY HOẠCH</t>
  </si>
  <si>
    <t>Điều chỉnh, bổ sung quy hoạch huyện nông thôn mới</t>
  </si>
  <si>
    <t>ĐIỆN (Tiêu chí 4)</t>
  </si>
  <si>
    <t xml:space="preserve">Hệ thống điện chiếu sáng các tuyến đường ĐH trên địa bàn huyện </t>
  </si>
  <si>
    <t>Di dời trụ điện nằm trên trục đường GTNT trên địa bàn các xã</t>
  </si>
  <si>
    <t>KINH TẾ (Tiêu chí 6_6.1,6.2)</t>
  </si>
  <si>
    <t>THỦY LỢI</t>
  </si>
  <si>
    <t>4.1</t>
  </si>
  <si>
    <t>Công trình đê ngăn mặn</t>
  </si>
  <si>
    <t>Nâng cấp đê bao đập Pascal (bờ bắc) xã TX2</t>
  </si>
  <si>
    <t>4.2</t>
  </si>
  <si>
    <t>Công trình kênh</t>
  </si>
  <si>
    <t>Xây mới kênh N5 hồ chứa nước Thái Xuân (DT tưới 75,14 ha)_xã Tam Hiệp</t>
  </si>
  <si>
    <t>1650m (BxH=0,9x0,7)</t>
  </si>
  <si>
    <t>Sửa chữa kênh N5-4 hồ chứa nước Thái Xuân (DT tưới 45,71 ha)_ xã Tam Giang</t>
  </si>
  <si>
    <t>2400m (BxH=0,8x0,8)</t>
  </si>
  <si>
    <t>Sửa chữa, nâng cấp kênh N2-9-3 Nam Phú Ninh (DT tưới 100,61 ha) xã Tam Anh Bắc</t>
  </si>
  <si>
    <t>1578m (BxH=1x0,8)</t>
  </si>
  <si>
    <t>Sửa chữa, nâng cấp kênh N6-8 Nam Phú Ninh (DT tưới 47,35 ha)_xã Tam Xuân 2</t>
  </si>
  <si>
    <t>1592m (BxH=0,8x0,8)</t>
  </si>
  <si>
    <t>Sửa chữa, nâng cấp kênh N2-9-5 Nam Phú Ninh (DT tưới 48,81 ha)_ xã Tam Hòa</t>
  </si>
  <si>
    <t>1941m (BxH=0,8x0,8)</t>
  </si>
  <si>
    <t>Sửa chữa, nâng cấp kênh N3-1 Nam Phú Ninh (DT tưới 134,12 ha)_ xã Tam Xuân 1</t>
  </si>
  <si>
    <t>3643m (BxH=1x1,1)</t>
  </si>
  <si>
    <t>4.3</t>
  </si>
  <si>
    <t>Công trình thủy lợi nhỏ:</t>
  </si>
  <si>
    <t xml:space="preserve"> - Cống 9 mẫu đê ngăn mặn đồng Long Bình xã Tam Nghĩa</t>
  </si>
  <si>
    <t xml:space="preserve"> - Cống Đồng ao đê Long Bình xã Tam Nghĩa</t>
  </si>
  <si>
    <t>MÔI TRƯỜNG</t>
  </si>
  <si>
    <t>(Kèm theo tờ trình số 77/QĐ-UBND ngày 20/4/2023 của UBND huyện Núi Thành)</t>
  </si>
  <si>
    <t>Trồng cây xanh các tuyến đường ĐH, ĐX</t>
  </si>
  <si>
    <t>TỔNG</t>
  </si>
  <si>
    <t xml:space="preserve">Xây dựng chợ Trung tâm huyện </t>
  </si>
  <si>
    <t xml:space="preserve">                                      </t>
  </si>
  <si>
    <t>ĐVT: Triệu đồng</t>
  </si>
  <si>
    <t>TT</t>
  </si>
  <si>
    <t>Tên danh mục công trình/dự án</t>
  </si>
  <si>
    <t>Khối lượng, tiêu chuẩn kỹ thuật tối thiểu</t>
  </si>
  <si>
    <t>Tổng</t>
  </si>
  <si>
    <t>Trong đó</t>
  </si>
  <si>
    <t>NS Trung ương</t>
  </si>
  <si>
    <t>NS Huyện</t>
  </si>
  <si>
    <t>NS xã và nhân dân đóng góp</t>
  </si>
  <si>
    <t>TỔNG CỘNG</t>
  </si>
  <si>
    <t>Giao thông (Đường ngõ xóm)</t>
  </si>
  <si>
    <t>Tuyến từ đường ĐH8 đến nhà bà Huệ (Thôn Thuận Yên Tây)</t>
  </si>
  <si>
    <t>410m</t>
  </si>
  <si>
    <t>Tuyến nhà Ông Hải đến nhà Ông Hinh (Thôn Đức Phú)</t>
  </si>
  <si>
    <t>50m</t>
  </si>
  <si>
    <t>Tuyến từ Trạm biến áp đến nhà Ông Võ Khái (Thôn Đức Phú)</t>
  </si>
  <si>
    <t>40m</t>
  </si>
  <si>
    <t>Hệ thống trụ điện nâng cao dây điện sau công tơ tại các thôn Thuận Yên Đông, Đức Phú, Danh Sơn,Thuận Yên Tây, Mỹ Đông</t>
  </si>
  <si>
    <t>300 trụ điện</t>
  </si>
  <si>
    <t>Hệ thống điện chiếu sáng các tuyến đường trục chính tại các thôn xã Tam Sơn</t>
  </si>
  <si>
    <t>100 trụ+bóng</t>
  </si>
  <si>
    <t>Nâng cấp nhà văn hóa thôn thôn Danh Sơn, thôn Thuận Yên Tây (nâng cấp la phông, cửa, lăn sơn); thôn Thuận Yên Đông (la phông, cửa, trụ cổng)</t>
  </si>
  <si>
    <t>3 thôn</t>
  </si>
  <si>
    <t>Nhà văn hóa thôn Thuận Yên Tây; Hạng mục: Xây mới tường rào, cổng ngõ, lát gạch, trồng cây xanh</t>
  </si>
  <si>
    <t>Nhà văn hóa thôn Mỹ Đông; Hạng mục: Xây mới tường rào, cổng ngõ, trồng cây xanh</t>
  </si>
  <si>
    <t>Rào bảo vệ đường giao thông</t>
  </si>
  <si>
    <t>Rào bảo vệ đường qua Đồng Nhum</t>
  </si>
  <si>
    <t>240m</t>
  </si>
  <si>
    <t>Kênh mương Đồng Ông Sắt Thôn Thuận Yên Tây (giai đoạn 1)</t>
  </si>
  <si>
    <t>500m</t>
  </si>
  <si>
    <t>Công trình cấp nước sinh hoạt</t>
  </si>
  <si>
    <t>Giếng khoan tập trung tại nhà văn hóa Thuận Yên Đông, Đức Phú, Trạm y tế xã, trụ sở UBND xã</t>
  </si>
  <si>
    <t>4 giếng</t>
  </si>
  <si>
    <t>Khu vui chơi cộng đồng</t>
  </si>
  <si>
    <t>Khu vui chơi cộng đồng thôn Thuận Yên Đông; Hạng mục: Hệ thống điện chiếu sáng, tường rào, dụng cụ thể dục thể thao (giai đoạn 2)</t>
  </si>
  <si>
    <t>Công trình</t>
  </si>
  <si>
    <t>Trụ sở xã</t>
  </si>
  <si>
    <t>Khu khuôn viên phía trước trụ sở UBND xã; Hạng mục: lát gạch, bờ kè, điện chiếu sáng, trồng cây xanh (giai đoạn 2)</t>
  </si>
  <si>
    <t>Nâng cấp Tuyến từ nhà ông Trí đến Ông Bình (thôn Phước Thạnh)</t>
  </si>
  <si>
    <t>Mặt đường 3 m</t>
  </si>
  <si>
    <t>Hệ thống điện chiếu sáng tuyến Bà Hoa (thôn Đức Phú) - Ông Tuấn (thôn Trường Thạnh)</t>
  </si>
  <si>
    <t>Hệ thống điện chiếu sáng tuyến Ông Khai (thôn Đức Phú) - Bà Lý (thôn Trung Hòa)</t>
  </si>
  <si>
    <t>Hệ thống lưới điện nông thôn (điện sau công tơ) trên địa bàn toàn xã. Hạng mục: Trụ điện</t>
  </si>
  <si>
    <t>Lắp đặt đồ chơi trẻ em, dung cụ thể dục thể thao tại 04 khu dân cư</t>
  </si>
  <si>
    <t>04 thôn</t>
  </si>
  <si>
    <t>Tường rào, nâng cấp sân nền nhà văn hóa xã</t>
  </si>
  <si>
    <t>Lát gạch vỉa hè, bồn hoa, cây xanh khu vực trước trường THCS Hoàng Diệu</t>
  </si>
  <si>
    <t>Lát gạch vỉa hè, bồn hoa, cây xanh, mương thoát nước khu vực trước Trường TH Nguyễn Thị Minh Khai (cơ sở chính)</t>
  </si>
  <si>
    <t>Giếng khoan tại nhà văn hóa các thôn Phước Thạnh, Trường Thạnh, Đức Phú và UBND xã</t>
  </si>
  <si>
    <t>4 cái</t>
  </si>
  <si>
    <t>Khu sinh hoạt nhà văn hóa thôn Phú Trường, Phú Tân, Phú Tứ; Hạng mục: Tường rào mềm, bồn hoa, cây xanh, sân vườn, đường nội bộ</t>
  </si>
  <si>
    <t>Khu sinh hoạt nhà văn hóa thôn Phú Thọ; Hạng mục: Tường rào mềm, bồn hoa, cây xanh, sân vườn, đường nội bộ (2 địa điểm)</t>
  </si>
  <si>
    <t>Trường TH Nguyễn Du (cơ sở chính); Hạng mục: cổng trường, đường dẫn vào trường</t>
  </si>
  <si>
    <t xml:space="preserve">Trường THCS Nguyễn Duy Hiệu; Hạng mục: khu thể dục thể thao </t>
  </si>
  <si>
    <t>Cảnh quan môi trường khu trung tâm xã (Giai đoạn 2); Hạng mục: Bồn hoa, cây cảnh, sân vườn, hệ thống điện chiếu sáng, mương thoát nước</t>
  </si>
  <si>
    <t>Giếng khoan tại Trường Nguyễn Du, Trạm y tế, thôn Phú Thọ, Phú Tân, Phú Tứ</t>
  </si>
  <si>
    <t>6 cái</t>
  </si>
  <si>
    <t>Tuyến bê tông đi ngõ Trung</t>
  </si>
  <si>
    <t>190m; 3m</t>
  </si>
  <si>
    <t>Trạm bơm điện thôn Trung Chánh (Nhà trạm, kênh dẫn, hệ thống điện)</t>
  </si>
  <si>
    <t>Tiểu hoa viên thôn Trung Thành</t>
  </si>
  <si>
    <t>1CT</t>
  </si>
  <si>
    <t>Giếng khoan tập trung thôn Tú Mỹ, thôn Đồng Cố</t>
  </si>
  <si>
    <t>Bê tông hóa tuyến từ Ngõ Kha đến Ngõ Vệ</t>
  </si>
  <si>
    <t>197m (3,5m)</t>
  </si>
  <si>
    <t>Bê tông hóa tuyến từ Ngõ Nhân đến Ngõ Miên</t>
  </si>
  <si>
    <t>100m (3m)</t>
  </si>
  <si>
    <t>Mở rộng mặt đường tuyến Ngõ Xị - Nhà văn hóa thônTrà Tây</t>
  </si>
  <si>
    <t>252m (mỗi bên 1m)</t>
  </si>
  <si>
    <t>Xây mới khu thể thao thôn Phú Quý 1; Hạng mục: Sân bóng chuyền, sân cầu lông</t>
  </si>
  <si>
    <t>1.500m2</t>
  </si>
  <si>
    <t>Nâng cấp nhà văn hóa thôn Phú Quý 1; Hạng mục: Xây dựng tường rào, đường bê tông, bồn hoa cây cảnh và hệ thống điện</t>
  </si>
  <si>
    <t>Xây mới khu thể thao thôn Trà Tây; Hạng mục: San nền</t>
  </si>
  <si>
    <t>1.390m2</t>
  </si>
  <si>
    <t>Xây mới khu thể thao thôn Đa Phú 2; Hạng mục: San nền, xây mới sân bóng chuyền, tường rào khu thể thao</t>
  </si>
  <si>
    <t>1.200m2</t>
  </si>
  <si>
    <t>Nhà văn hóa thôn Đa Phú 1; Hạng mục: Xây mới nhà vệ sinh, hệ thống điện chiếu sáng sân cầu lông</t>
  </si>
  <si>
    <t>Nhà văn hóa thôn Phú Quý 3; Hạng mục: Nâng cấp nhà vệ sinh, xây mới mái che, bồn hoa cây cảnh</t>
  </si>
  <si>
    <t>Nhà văn hóa thôn Phú Quý 2; Hạng mục: Xây mới tường rào</t>
  </si>
  <si>
    <t xml:space="preserve"> Đường giao thông nông thôn</t>
  </si>
  <si>
    <t>Đường từ giáp ĐH 10 đến nhà Ông Hồ Chí Nguyên thôn Tân Lộc Ngọc</t>
  </si>
  <si>
    <t>Đường từ nhà ông Mười đến nhà ông Tàu thôn Tân Lộc Ngọc</t>
  </si>
  <si>
    <t>Đường trục chính nội đồng</t>
  </si>
  <si>
    <t xml:space="preserve">Đường ngang ông Dũng (Tân Lộc) đến Đê sông Tam Kỳ thôn Tân Lộc Ngọc </t>
  </si>
  <si>
    <t>Đường mương ông 2 Hùng đến giáp mương Dân</t>
  </si>
  <si>
    <t>Đường mương ông Bá đến giáp mương Đình</t>
  </si>
  <si>
    <t>Kênh từ nhà Ông Phước đến mương Hòa</t>
  </si>
  <si>
    <t>Cảnh quan môi trường nông thôn (bồn hoa, cây xanh, vỉa hè, chỉnh trang khu trung tâm, điện chiếu sáng đường trục chính, các hạng mục vệ sinh môi trường nông thôn) - Tường rào xanh thuộc khuôn viên nhà văn hóa thôn Tân Lộc Ngọc</t>
  </si>
  <si>
    <t>Giao thông (Đường trục chính nội đồng)</t>
  </si>
  <si>
    <t>Tuyến chính đồng Cây Liêm</t>
  </si>
  <si>
    <t>260m</t>
  </si>
  <si>
    <t>Tuyến ông Tùng - Gò Đồn</t>
  </si>
  <si>
    <t>350m</t>
  </si>
  <si>
    <t>Tuyến cống Bà Tuấn - Đồng Nại</t>
  </si>
  <si>
    <t>210m</t>
  </si>
  <si>
    <t>Kiên cố kênh Cây Khế - Đá Đen</t>
  </si>
  <si>
    <t>600m (40-50)</t>
  </si>
  <si>
    <t>Nhà bếp ăn bán trú trường Tiểu học Hùng Vương (cơ sở 2)</t>
  </si>
  <si>
    <t>Mương thoát nước tuyến đường số 1 Định Phước</t>
  </si>
  <si>
    <t>Mương thoát nước sau chợ Chu Lai</t>
  </si>
  <si>
    <t>VIII</t>
  </si>
  <si>
    <t>XÃ TAM QUANG</t>
  </si>
  <si>
    <t>Tuyến đường từ Vườn ông Bùi nộ đến nhà ông Trần Văn Quang thôn Xuân Trung</t>
  </si>
  <si>
    <t>Mặt đường 3m, 
dài 226m</t>
  </si>
  <si>
    <t>Tuyến đường từ nhà bà Đặng Thị Sương đến nhà bà Đặng Thị Diên  thôn Xuân Trung</t>
  </si>
  <si>
    <t>Mặt đường 3m, 
dài 156m</t>
  </si>
  <si>
    <t>Tuyến đường từ nhà Nguyễn Thị Mỹ đến nhà Bùi Thị Hường thôn Trung Toàn</t>
  </si>
  <si>
    <t>Mặt đường 2m, 
dài 125m</t>
  </si>
  <si>
    <t>Xây dựng sân bóng chuyền, sân cầu lông, cây xanh khu thể thao xã</t>
  </si>
  <si>
    <t>Xây dựng tường rào cổng ngõ, nền sân, cây xanh nhà văn hóa Sâm Linh Đông</t>
  </si>
  <si>
    <t>Nâng cấp tường rào cổng ngõ NVH thôn Sâm Linh Tây</t>
  </si>
  <si>
    <t>Hệ thống thoát nước thôn An Hải Đông (Nhà ông Sỹ đến nhà ông Hào)</t>
  </si>
  <si>
    <t>Giao thông (Đường trục thôn)</t>
  </si>
  <si>
    <t>Bê tông hóa mặt đường tuyến QL1 đi ông Thức thôn Mỹ Sơn</t>
  </si>
  <si>
    <t>Bê tông hóa mặt đường tuyến Ông Dinh đi bà Thảo thôn Tiên Xuân 2</t>
  </si>
  <si>
    <t>Bê tông hóa mặt đường và cống thoát nước tuyến ông Hùng đi ông Ái thôn Tiên Xuân 1</t>
  </si>
  <si>
    <t>Xây dựng tường rào nhà văn hóa thôn Mỹ Sơn</t>
  </si>
  <si>
    <t>65m</t>
  </si>
  <si>
    <t>Lắp đặt dụng cụ thể dục thể thao khu vui chơi vùng Ngư nghiệp thôn Tiên Xuân 1</t>
  </si>
  <si>
    <t>Mương thoát nước KDC Tiên Xuân 1</t>
  </si>
  <si>
    <t>530m</t>
  </si>
  <si>
    <t>Nhà ông Khâm đến nhà ông Nguyễn Tấn Trãi (thôn Phú Đông)</t>
  </si>
  <si>
    <t>dài 152m, ngang 3m</t>
  </si>
  <si>
    <t>Từ nhà ông Trần Thành đến nhà ông Lê Văn Nam (Thôn )</t>
  </si>
  <si>
    <t>dài 190m, rộng 3m</t>
  </si>
  <si>
    <t>Cổng TĐK số 2- nhà ông Lê Văn Nam (Khương Mỹ)</t>
  </si>
  <si>
    <t>dài 270m, rộng 3m</t>
  </si>
  <si>
    <t>KCH kênh mương từ Nhà ông Sáng đến Thổ Tiễn (Thôn Bích Tân)</t>
  </si>
  <si>
    <t>L= 450m, B x h = 40*50</t>
  </si>
  <si>
    <t>KCH kênh mương từ Nhà ông Phương đến đồng Miễu ( thôn Phú Đông)</t>
  </si>
  <si>
    <t>L= 300m, B x h = 40*50</t>
  </si>
  <si>
    <t>Kênh tưới từ nhà Mai Văn Khâm đến nhà ông Trãi</t>
  </si>
  <si>
    <t>L= 152m, B x h = 40*50</t>
  </si>
  <si>
    <t>Tường rào, cổng ngõ, sân bê tông sân nhà văn hóa thôn Phú Bình</t>
  </si>
  <si>
    <t>Làm mới 120 m tường rào, sân bê tông</t>
  </si>
  <si>
    <t>XÃ TAM GIANG</t>
  </si>
  <si>
    <t>Công trình: Khu Trung Tâm Văn hóa - Thể thao  xã: Hạng mục: Hệ thống điện chiếu sáng; Bồn hoa và cây xanh; Đường Pitch sân vận động xã.</t>
  </si>
  <si>
    <t>Xây mới tường rào sân bóng đá thôn Bình An, Hòa Bình</t>
  </si>
  <si>
    <t>Xây dựng sân bóng chuyền và cải tạo khuôn viên nhà văn hóa đa năng xã</t>
  </si>
  <si>
    <t>Trụ sở</t>
  </si>
  <si>
    <t>Nâng cấp, cải tạo tường rào khu khuôn viên xã</t>
  </si>
  <si>
    <t>Vỉa hè, mương thoát nước UBND xã</t>
  </si>
  <si>
    <t>Giao thông (Đường trục xã, liên xã)</t>
  </si>
  <si>
    <t xml:space="preserve">Tuyến từ QL 1A  đến Đàì tưởng niệm </t>
  </si>
  <si>
    <t>Mặt đường 3 m ; (180m)</t>
  </si>
  <si>
    <t>Xây mới cống qua kênh tổ 5, tổ 7 thôn Phú Nam, tổ 1 xóm đảo thôn Thạch Kiều</t>
  </si>
  <si>
    <t>Xây dựng khu thể thao thôn Phú Nam; Hạng mục: Sân bóng chuyền</t>
  </si>
  <si>
    <t>Nâng cấp, cải tạo sân UBND xã</t>
  </si>
  <si>
    <t>XÃ TAM HẢI</t>
  </si>
  <si>
    <t>Hệ thống thoát nước thải khu dân cư trung tâm xã đến bãi Nồm, thôn Tân Lập</t>
  </si>
  <si>
    <t>Kênh N293.2.8</t>
  </si>
  <si>
    <t>Kênh N293.13 (Luận) - Cống 3 Cửa</t>
  </si>
  <si>
    <t>Kênh N29.3.2.13</t>
  </si>
  <si>
    <t>Hệ thống trụ điện sau công tơ</t>
  </si>
  <si>
    <t>Y tế</t>
  </si>
  <si>
    <t>Trạm y tế Tam Giang - Hạng mục:  vỉa hè, bồn hoa, cây xanh, cổng ngõ, cải tạo nhà vệ sinh bệnh nhân</t>
  </si>
  <si>
    <t>Nhà văn hóa thôn Đông An - Hạng mục: Vỉa hè, bồn hoa, cây xanh, điện chiếu sáng, cải tạo tường rào cổng ngõ, mở rộng khuôn viên</t>
  </si>
  <si>
    <t>Nhà văn hóa thôn Đông Xuân-Hạng mục: Vỉa hè, bồn hoa, cây xanh</t>
  </si>
  <si>
    <t>Nhà văn hóa thôn Đông Bình - Hạng mục: Bồn hoa, cây xanh, điện chiếu sáng, cải tạo tường rào</t>
  </si>
  <si>
    <t>Nhà văn hóa thôn Hòa An - Hạng mục: Vỉa hè, bồn hoa, cây xanh, điện chiếu sáng, cải tạo sân bóng đá mini</t>
  </si>
  <si>
    <t>Xây dựng cảnh quan môi trường khu trung tâm xã</t>
  </si>
  <si>
    <t xml:space="preserve">Xây dựng cảnh quan môi trường phía trước Trường mẫu giáo Sao Mai </t>
  </si>
  <si>
    <t>Kế hoạch vốn đã phân bổ</t>
  </si>
  <si>
    <t>Tổng mức đầu tư danh mục đã phê duyệt</t>
  </si>
  <si>
    <t xml:space="preserve">Tuyến Cổng chào thôn Phú Đông- nhà ông Nhơn (thôn Phú Đông). </t>
  </si>
  <si>
    <t>Nhà bếp và mái che nhà ăn bán trú TH Đinh Bộ Lĩnh</t>
  </si>
  <si>
    <t xml:space="preserve">Sửa chữa, nâng cấp Hội trường trụ sở làm việc UBND xã </t>
  </si>
  <si>
    <t>NS xã + ĐGND+ khác</t>
  </si>
  <si>
    <t>Diễn giãi</t>
  </si>
  <si>
    <t>Tổng nguồn vốn danh mục công trình đề xuất bổ sung KHTH giai đoạn 2021-2025</t>
  </si>
  <si>
    <t>Tổng vốn 2023-2025</t>
  </si>
  <si>
    <t xml:space="preserve">Mở rộng đường GTNT Tuyến đường ven sông: Bến đò - chợ Tam Hải </t>
  </si>
  <si>
    <t>Mở rộng tuyến giao thông Ngõ ông Cảnh - Ngõ ông Vũ (Mỗi bên 1m)</t>
  </si>
  <si>
    <t xml:space="preserve">Mở rộng </t>
  </si>
  <si>
    <t>Cấp đường loại  C</t>
  </si>
  <si>
    <t>Dự kiến Kế hoạch vốn đến 2025 Trong đó:</t>
  </si>
  <si>
    <t>PHỤ LỤC 01</t>
  </si>
  <si>
    <t>KẾ HOẠCH DANH MỤC VỐN ĐẦU TƯ TRUNG HẠN THỰC HIỆN CHƯƠNG TRÌNH MTQG XÂY DỰNG NÔNG THÔN MỚI CỦA CÁC XÃ 2023-2025</t>
  </si>
  <si>
    <t>Tổng vốn
2023-2025</t>
  </si>
  <si>
    <t>PHỤ LỤC 02</t>
  </si>
  <si>
    <t>TỔNG NGUỒN VỐN ĐỀ XUẤT KHTH GIAI ĐOẠN 2021-2025</t>
  </si>
  <si>
    <t>Danh mục</t>
  </si>
  <si>
    <t>Tổng mức đầu tư</t>
  </si>
  <si>
    <t>Tỉnh</t>
  </si>
  <si>
    <t>Huyện</t>
  </si>
  <si>
    <t>Xã+ĐGND</t>
  </si>
  <si>
    <t>TAM TRÀ</t>
  </si>
  <si>
    <t>Đập Nà Miếu và kênh dẫn</t>
  </si>
  <si>
    <t>Kênh dẫn đập Hố nhồng</t>
  </si>
  <si>
    <t>Nâng cấp 5 nhà văn hóa thôn: Trường Cửu I, Phú Đức, Phú Thành, Phú Tứ, Phú Mỹ</t>
  </si>
  <si>
    <t>Lắp đặt dụng cụ TDTT, khu vui chơi cho trẻ em</t>
  </si>
  <si>
    <t>Khu thể thao giai đoạn 2 (tính GTĐB:400trđ)</t>
  </si>
  <si>
    <t xml:space="preserve">Cổng chào xã </t>
  </si>
  <si>
    <t>Nâng cấp, sửa chữa cổng chính, sân vườn, bồn hoa, cây xanh, quét vôi lại mới Khu trung tâm hành chính xã</t>
  </si>
  <si>
    <t>Xây mới tường rào, lát gạch vỉa hè, bồn hoa, cây xanh phía trước Trụ sở hành chính xã</t>
  </si>
  <si>
    <t>Lát gạch vỉa hè, bồn hoa, cây xanh phía trước Trường THCS Nguyễn Duy Hiệu và Trạm y tế xã thôn Phú Tân</t>
  </si>
  <si>
    <t>Lát gạch vỉa hè, bồn hoa, cây xanh phía trước Trường TH Nguyễn Du và Trường MG Phong Lan thôn Phú Trường</t>
  </si>
  <si>
    <t>TAM SƠN</t>
  </si>
  <si>
    <t>Đường vào Khu thể thao xã</t>
  </si>
  <si>
    <t>Cứng hóa các tuyến GTNT ngõ xóm</t>
  </si>
  <si>
    <t>Kênh mương Đập Làng (đoạn cuối)</t>
  </si>
  <si>
    <t>Kênh mương Đập hố Bà Nhâm</t>
  </si>
  <si>
    <t>Nâng cấp và xây mới Cổng chào thôn (Thuận Yên Tây, Mỹ Đông, Thuận Yên Đông, Danh Sơn)</t>
  </si>
  <si>
    <t>Dụng cụ thể dục thể thao, đồ chơi trẻ em (Mỹ Đông, Thuận Yên Tây, Danh Sơn)</t>
  </si>
  <si>
    <t>Lắp đặt dụng cụ vui chơi giải trí tại khu vui chơi cộng đồng</t>
  </si>
  <si>
    <t>Khu vui chơi cộng đồng (San nền, trồng cây xanh, điện chiếu sáng, lát gạch nền...) khu trụ sở cũ</t>
  </si>
  <si>
    <t>Chỉnh trang trước trường học THCS, TH và Mẫu giáo</t>
  </si>
  <si>
    <t>Cảnh quan môi trường nông thôn (hệ thống điện chiếu sáng đường trục chính)</t>
  </si>
  <si>
    <t>Chỉnh trang khu vực trung tâm xã (bồn hoa, điện chiếu sáng, lát gạch vỉa hè, trồng cây xanh)</t>
  </si>
  <si>
    <t>Cống, mương thoát nước Khu thể thao Đức Phú</t>
  </si>
  <si>
    <t>Cống, mương thoát nước khu trung tâm xã</t>
  </si>
  <si>
    <t>Kè chắn chống sạt, trồng cỏ gia cố mãi ta luy xung quanh trụ sở UBND xã</t>
  </si>
  <si>
    <t>TAM THẠNH</t>
  </si>
  <si>
    <t>Đường GTNT ngõ xóm</t>
  </si>
  <si>
    <t xml:space="preserve">Điện </t>
  </si>
  <si>
    <t>Lắp đặt trụ, dây điện sinh hoạt sau công tơ tổ 8 thôn Đức Phú (tuyến ông Bộ đi ông Lân)</t>
  </si>
  <si>
    <t>Lắp đặt đồ chơi trẻ em, dụng cụ thể dục cho người già cho khu vui chơi</t>
  </si>
  <si>
    <t>Xây dựng tường rào, nâng cấp sân sinh hoạt, bồn hoa, cây cảnh nhà văn hóa thôn Đức Phú, Phước Thạnh, Trường Thạnh</t>
  </si>
  <si>
    <t xml:space="preserve">Xây dựng sân bóng chuyền tại Phú Tín thôn Đức Phú </t>
  </si>
  <si>
    <t>Môi trường:</t>
  </si>
  <si>
    <t xml:space="preserve">Điện chiếu sáng tuyến Trung Hòa đi Trường Thạnh, </t>
  </si>
  <si>
    <t>Điện chiếu sáng tuyến Đức Phú đi Trường Thạnh</t>
  </si>
  <si>
    <t>Điện chiếu sáng trục chính đoạn từ Trạm y tế xã đến Đèo Ba Ví</t>
  </si>
  <si>
    <t xml:space="preserve"> Lát gạch vỉa hè, bồn hoa, cây xanh khu trung tâm xã </t>
  </si>
  <si>
    <t xml:space="preserve"> Lát gạch vỉa hè, bồn hoa, cây xanh đoạn từ nhà văn hóa thôn đến trương MGCL Vành Khuyên thôn Phước Thạnh </t>
  </si>
  <si>
    <t>Hệ thống mương thoát nước tuyến Trung Hòa-Trường Thạnh</t>
  </si>
  <si>
    <t>Quy hoạch</t>
  </si>
  <si>
    <t>DANH MỤC CÔNG TRÌNH ĐẦU TƯ THUỘC CHƯƠNG TRÌNH MTQG XÂY DỰNG NÔNG THÔN MỚI CỦA CÁC XÃ ĐÃ THỰC HIỆN NĂM 2021 VÀ NĂM 2022 (Nguồn vốn TW)</t>
  </si>
  <si>
    <t>1.1. Vốn TW</t>
  </si>
  <si>
    <t>1.2. Vốn Tỉnh</t>
  </si>
  <si>
    <t>1. Nguồn vốn danh mục công trình các xã đã thực hiện thuộc  năm 2021 và năm 2022</t>
  </si>
  <si>
    <t>2. Nguồn vốn danh mục công trình các xã năm 2023-2025</t>
  </si>
  <si>
    <t>3. Nguồn vốn danh mục công trình huyện NTM 2023-2025</t>
  </si>
  <si>
    <t>PHỤ LỤC 04_</t>
  </si>
  <si>
    <t>DANH MỤC VỐN ĐẦU TƯ TRUNG HẠN CHƯƠNG TRÌNH MTQG XÂY DỰNG HUYỆN NÔNG THÔN MỚI NĂM 2023-2025</t>
  </si>
  <si>
    <t>DANH MỤC CÔNG TRÌNH ĐẦU TƯ THUỘC CHƯƠNG TRÌNH MTQG XÂY DỰNG NÔNG THÔN MỚI  CỦA 3 XÃ TAM TRÀ, TAM SƠN, TAM THẠNH ĐÃ THỰC HIỆN  NĂM 2021 (Nguồn vốn NS tỉnh)</t>
  </si>
  <si>
    <t>NS TW, TỈNH</t>
  </si>
  <si>
    <t xml:space="preserve">jkn bnb </t>
  </si>
  <si>
    <t>Phụ lục 1</t>
  </si>
  <si>
    <t>Phụ lục 2</t>
  </si>
  <si>
    <t>Phụ lục 3</t>
  </si>
  <si>
    <t>phụ lục 4</t>
  </si>
  <si>
    <t>Số lượng DMCT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</si>
</sst>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00"/>
    <numFmt numFmtId="165" formatCode="#,##0.000_);\(#,##0.000\)"/>
  </numFmts>
  <fonts count="24" x14ac:knownFonts="1">
    <font>
      <sz val="11"/>
      <color theme="1"/>
      <name val="Calibri"/>
      <family val="2"/>
      <charset val="163"/>
      <scheme val="minor"/>
    </font>
    <font>
      <sz val="11"/>
      <color theme="1"/>
      <name val="Calibri"/>
      <family val="2"/>
      <charset val="163"/>
      <scheme val="minor"/>
    </font>
    <font>
      <b/>
      <sz val="12"/>
      <name val="Times New Roman"/>
      <family val="1"/>
    </font>
    <font>
      <sz val="12"/>
      <name val="Times New Roman"/>
      <family val="1"/>
    </font>
    <font>
      <b/>
      <sz val="12"/>
      <color rgb="FFFF0000"/>
      <name val="Times New Roman"/>
      <family val="1"/>
    </font>
    <font>
      <sz val="12"/>
      <color rgb="FFFF0000"/>
      <name val="Times New Roman"/>
      <family val="1"/>
    </font>
    <font>
      <b/>
      <i/>
      <sz val="12"/>
      <name val="Times New Roman"/>
      <family val="1"/>
    </font>
    <font>
      <i/>
      <sz val="12"/>
      <name val="Times New Roman"/>
      <family val="1"/>
    </font>
    <font>
      <sz val="10"/>
      <name val="Arial"/>
      <family val="2"/>
    </font>
    <font>
      <b/>
      <sz val="12"/>
      <color theme="1"/>
      <name val="Times New Roman"/>
      <family val="1"/>
    </font>
    <font>
      <sz val="12"/>
      <color theme="1"/>
      <name val="Calibri"/>
      <family val="2"/>
      <scheme val="minor"/>
    </font>
    <font>
      <sz val="12"/>
      <color theme="1"/>
      <name val="Times New Roman"/>
      <family val="1"/>
    </font>
    <font>
      <i/>
      <sz val="12"/>
      <color theme="1"/>
      <name val="Times New Roman"/>
      <family val="1"/>
    </font>
    <font>
      <i/>
      <sz val="12"/>
      <color theme="1"/>
      <name val="Calibri"/>
      <family val="2"/>
      <scheme val="minor"/>
    </font>
    <font>
      <b/>
      <sz val="16"/>
      <name val="Times New Roman"/>
      <family val="1"/>
    </font>
    <font>
      <b/>
      <sz val="10"/>
      <name val="Times New Roman"/>
      <family val="1"/>
    </font>
    <font>
      <sz val="10"/>
      <name val="Times New Roman"/>
      <family val="1"/>
    </font>
    <font>
      <b/>
      <sz val="10"/>
      <color theme="1"/>
      <name val="Times New Roman"/>
      <family val="1"/>
    </font>
    <font>
      <i/>
      <sz val="12"/>
      <color rgb="FFFF0000"/>
      <name val="Times New Roman"/>
      <family val="1"/>
    </font>
    <font>
      <sz val="10"/>
      <color theme="1"/>
      <name val="Calibri"/>
      <family val="2"/>
      <scheme val="minor"/>
    </font>
    <font>
      <sz val="11"/>
      <color rgb="FFFF0000"/>
      <name val="Calibri"/>
      <family val="2"/>
      <scheme val="minor"/>
    </font>
    <font>
      <sz val="10"/>
      <name val=".VnTime"/>
      <family val="2"/>
    </font>
    <font>
      <b/>
      <sz val="11"/>
      <color theme="1"/>
      <name val="Times New Roman"/>
      <family val="1"/>
    </font>
    <font>
      <i/>
      <sz val="11"/>
      <color theme="1"/>
      <name val="Calibri"/>
      <family val="2"/>
      <charset val="163"/>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s>
  <borders count="30">
    <border>
      <left/>
      <right/>
      <top/>
      <bottom/>
      <diagonal/>
    </border>
    <border>
      <left/>
      <right/>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style="double">
        <color auto="1"/>
      </top>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style="double">
        <color auto="1"/>
      </right>
      <top style="double">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0" fontId="8" fillId="0" borderId="0"/>
    <xf numFmtId="0" fontId="21" fillId="0" borderId="0"/>
  </cellStyleXfs>
  <cellXfs count="372">
    <xf numFmtId="0" fontId="0" fillId="0" borderId="0" xfId="0"/>
    <xf numFmtId="164" fontId="3" fillId="0" borderId="0" xfId="0" applyNumberFormat="1" applyFont="1" applyAlignment="1">
      <alignment vertical="center" wrapText="1"/>
    </xf>
    <xf numFmtId="0" fontId="3" fillId="2" borderId="0" xfId="0" applyNumberFormat="1" applyFont="1" applyFill="1" applyAlignment="1">
      <alignment horizontal="center" vertical="center" wrapText="1"/>
    </xf>
    <xf numFmtId="164" fontId="3" fillId="2" borderId="0" xfId="0" applyNumberFormat="1" applyFont="1" applyFill="1" applyAlignment="1">
      <alignment horizontal="left" vertical="center" wrapText="1"/>
    </xf>
    <xf numFmtId="164" fontId="3" fillId="2" borderId="0" xfId="0" applyNumberFormat="1" applyFont="1" applyFill="1" applyAlignment="1">
      <alignment horizontal="center" vertical="center" wrapText="1"/>
    </xf>
    <xf numFmtId="164" fontId="2" fillId="2" borderId="0" xfId="0" applyNumberFormat="1" applyFont="1" applyFill="1" applyAlignment="1">
      <alignment vertical="center"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164" fontId="3" fillId="2" borderId="0" xfId="0" applyNumberFormat="1" applyFont="1" applyFill="1" applyBorder="1" applyAlignment="1">
      <alignment horizontal="center" vertical="center" wrapText="1"/>
    </xf>
    <xf numFmtId="164" fontId="2" fillId="2" borderId="0" xfId="0" applyNumberFormat="1" applyFont="1" applyFill="1" applyBorder="1" applyAlignment="1">
      <alignment vertical="center" wrapText="1"/>
    </xf>
    <xf numFmtId="164" fontId="2" fillId="2" borderId="0" xfId="0" applyNumberFormat="1" applyFont="1" applyFill="1" applyBorder="1" applyAlignment="1">
      <alignment horizontal="center" vertical="center" wrapText="1"/>
    </xf>
    <xf numFmtId="0" fontId="4" fillId="4" borderId="5" xfId="0" applyNumberFormat="1" applyFont="1" applyFill="1" applyBorder="1" applyAlignment="1">
      <alignment horizontal="center" vertical="center" wrapText="1"/>
    </xf>
    <xf numFmtId="164" fontId="4" fillId="4" borderId="6" xfId="0" applyNumberFormat="1" applyFont="1" applyFill="1" applyBorder="1" applyAlignment="1">
      <alignment horizontal="left" vertical="center" wrapText="1"/>
    </xf>
    <xf numFmtId="0" fontId="4" fillId="4" borderId="6" xfId="0" applyNumberFormat="1" applyFont="1" applyFill="1" applyBorder="1" applyAlignment="1">
      <alignment horizontal="center" vertical="center" wrapText="1"/>
    </xf>
    <xf numFmtId="164" fontId="4" fillId="4" borderId="6" xfId="0" applyNumberFormat="1" applyFont="1" applyFill="1" applyBorder="1" applyAlignment="1">
      <alignment horizontal="center" vertical="center" wrapText="1"/>
    </xf>
    <xf numFmtId="164" fontId="4" fillId="4" borderId="6" xfId="0" applyNumberFormat="1" applyFont="1" applyFill="1" applyBorder="1" applyAlignment="1">
      <alignment horizontal="right" vertical="center" wrapText="1"/>
    </xf>
    <xf numFmtId="164" fontId="4" fillId="4" borderId="7" xfId="0" applyNumberFormat="1" applyFont="1" applyFill="1" applyBorder="1" applyAlignment="1">
      <alignment horizontal="right" vertical="center" wrapText="1"/>
    </xf>
    <xf numFmtId="164" fontId="4" fillId="2" borderId="0" xfId="0" applyNumberFormat="1" applyFont="1" applyFill="1" applyBorder="1" applyAlignment="1">
      <alignment vertical="center" wrapText="1"/>
    </xf>
    <xf numFmtId="164" fontId="5" fillId="2" borderId="0" xfId="0" applyNumberFormat="1" applyFont="1" applyFill="1" applyAlignment="1">
      <alignment vertical="center" wrapText="1"/>
    </xf>
    <xf numFmtId="0" fontId="2" fillId="4" borderId="5" xfId="0" applyNumberFormat="1" applyFont="1" applyFill="1" applyBorder="1" applyAlignment="1">
      <alignment horizontal="center" vertical="center" wrapText="1"/>
    </xf>
    <xf numFmtId="164" fontId="2" fillId="4" borderId="6" xfId="0" applyNumberFormat="1" applyFont="1" applyFill="1" applyBorder="1" applyAlignment="1">
      <alignment horizontal="left" vertical="center" wrapText="1"/>
    </xf>
    <xf numFmtId="0" fontId="2" fillId="4" borderId="6"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4" borderId="6" xfId="0" applyNumberFormat="1" applyFont="1" applyFill="1" applyBorder="1" applyAlignment="1">
      <alignment horizontal="right" vertical="center" wrapText="1"/>
    </xf>
    <xf numFmtId="164" fontId="2" fillId="3" borderId="6" xfId="0" applyNumberFormat="1" applyFont="1" applyFill="1" applyBorder="1" applyAlignment="1">
      <alignment horizontal="right" vertical="center" wrapText="1"/>
    </xf>
    <xf numFmtId="164" fontId="2" fillId="4" borderId="7" xfId="0" applyNumberFormat="1" applyFont="1" applyFill="1" applyBorder="1" applyAlignment="1">
      <alignment horizontal="right" vertical="center" wrapText="1"/>
    </xf>
    <xf numFmtId="0"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left" vertical="center" wrapText="1"/>
    </xf>
    <xf numFmtId="0" fontId="2" fillId="2" borderId="6"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6"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0" fontId="6" fillId="2" borderId="5" xfId="0" applyNumberFormat="1" applyFont="1" applyFill="1" applyBorder="1" applyAlignment="1">
      <alignment horizontal="center" vertical="center" wrapText="1"/>
    </xf>
    <xf numFmtId="164" fontId="6" fillId="2" borderId="6"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164" fontId="6" fillId="2" borderId="6" xfId="0" applyNumberFormat="1" applyFont="1" applyFill="1" applyBorder="1" applyAlignment="1">
      <alignment horizontal="center" vertical="center" wrapText="1"/>
    </xf>
    <xf numFmtId="164" fontId="6" fillId="2" borderId="6" xfId="0" applyNumberFormat="1" applyFont="1" applyFill="1" applyBorder="1" applyAlignment="1">
      <alignment horizontal="right" vertical="center" wrapText="1"/>
    </xf>
    <xf numFmtId="164" fontId="6" fillId="3" borderId="6" xfId="0" applyNumberFormat="1" applyFont="1" applyFill="1" applyBorder="1" applyAlignment="1">
      <alignment horizontal="right" vertical="center" wrapText="1"/>
    </xf>
    <xf numFmtId="164" fontId="6" fillId="2" borderId="7" xfId="0" applyNumberFormat="1" applyFont="1" applyFill="1" applyBorder="1" applyAlignment="1">
      <alignment horizontal="right" vertical="center" wrapText="1"/>
    </xf>
    <xf numFmtId="164" fontId="6" fillId="2" borderId="0" xfId="0" applyNumberFormat="1" applyFont="1" applyFill="1" applyBorder="1" applyAlignment="1">
      <alignment vertical="center" wrapText="1"/>
    </xf>
    <xf numFmtId="164" fontId="6" fillId="0" borderId="0" xfId="0" applyNumberFormat="1" applyFont="1" applyAlignment="1">
      <alignment vertical="center" wrapText="1"/>
    </xf>
    <xf numFmtId="0" fontId="3" fillId="2" borderId="5" xfId="0" applyNumberFormat="1" applyFont="1" applyFill="1" applyBorder="1" applyAlignment="1">
      <alignment horizontal="center" vertical="center" wrapText="1"/>
    </xf>
    <xf numFmtId="164" fontId="7" fillId="2" borderId="6" xfId="0" applyNumberFormat="1" applyFont="1" applyFill="1" applyBorder="1" applyAlignment="1">
      <alignment horizontal="left" vertical="center" wrapText="1"/>
    </xf>
    <xf numFmtId="0" fontId="7" fillId="2" borderId="6" xfId="0" applyNumberFormat="1" applyFont="1" applyFill="1" applyBorder="1" applyAlignment="1">
      <alignment horizontal="center" vertical="center" wrapText="1"/>
    </xf>
    <xf numFmtId="164" fontId="7" fillId="2" borderId="6" xfId="0" applyNumberFormat="1" applyFont="1" applyFill="1" applyBorder="1" applyAlignment="1">
      <alignment horizontal="center" vertical="center" wrapText="1"/>
    </xf>
    <xf numFmtId="164" fontId="3" fillId="2" borderId="6" xfId="0" applyNumberFormat="1" applyFont="1" applyFill="1" applyBorder="1" applyAlignment="1">
      <alignment horizontal="right" vertical="center" wrapText="1"/>
    </xf>
    <xf numFmtId="164" fontId="3" fillId="3" borderId="6" xfId="0" applyNumberFormat="1" applyFont="1" applyFill="1" applyBorder="1" applyAlignment="1">
      <alignment horizontal="right" vertical="center" wrapText="1"/>
    </xf>
    <xf numFmtId="164" fontId="7" fillId="2" borderId="6" xfId="0" applyNumberFormat="1" applyFont="1" applyFill="1" applyBorder="1" applyAlignment="1">
      <alignment horizontal="right" vertical="center" wrapText="1"/>
    </xf>
    <xf numFmtId="164" fontId="3" fillId="2" borderId="7" xfId="0" applyNumberFormat="1" applyFont="1" applyFill="1" applyBorder="1" applyAlignment="1">
      <alignment horizontal="right" vertical="center" wrapText="1"/>
    </xf>
    <xf numFmtId="164" fontId="3" fillId="2" borderId="0" xfId="0" applyNumberFormat="1" applyFont="1" applyFill="1" applyBorder="1" applyAlignment="1">
      <alignment vertical="center" wrapText="1"/>
    </xf>
    <xf numFmtId="164" fontId="6" fillId="2" borderId="6" xfId="2" applyNumberFormat="1" applyFont="1" applyFill="1" applyBorder="1" applyAlignment="1">
      <alignment horizontal="left" vertical="center" wrapText="1"/>
    </xf>
    <xf numFmtId="164" fontId="3" fillId="2" borderId="6" xfId="0" applyNumberFormat="1" applyFont="1" applyFill="1" applyBorder="1" applyAlignment="1">
      <alignment horizontal="left" vertical="center" wrapText="1"/>
    </xf>
    <xf numFmtId="0" fontId="3" fillId="2" borderId="6"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2" fillId="0" borderId="0" xfId="0" applyNumberFormat="1" applyFont="1" applyAlignment="1">
      <alignment vertical="center" wrapText="1"/>
    </xf>
    <xf numFmtId="164" fontId="3" fillId="2" borderId="6" xfId="1" applyNumberFormat="1" applyFont="1" applyFill="1" applyBorder="1" applyAlignment="1">
      <alignment horizontal="right" vertical="center" wrapText="1"/>
    </xf>
    <xf numFmtId="164" fontId="3" fillId="2" borderId="7" xfId="1" applyNumberFormat="1" applyFont="1" applyFill="1" applyBorder="1" applyAlignment="1">
      <alignment horizontal="right" vertical="center" wrapText="1"/>
    </xf>
    <xf numFmtId="164" fontId="2" fillId="2" borderId="6" xfId="1"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164" fontId="7" fillId="0" borderId="0" xfId="0" applyNumberFormat="1" applyFont="1" applyAlignment="1">
      <alignment vertical="center" wrapText="1"/>
    </xf>
    <xf numFmtId="164" fontId="3" fillId="0" borderId="6" xfId="0" applyNumberFormat="1" applyFont="1" applyBorder="1" applyAlignment="1">
      <alignment horizontal="right" vertical="center" wrapText="1"/>
    </xf>
    <xf numFmtId="0" fontId="3" fillId="0" borderId="5" xfId="0" applyNumberFormat="1" applyFont="1" applyBorder="1" applyAlignment="1">
      <alignment vertical="center" wrapText="1"/>
    </xf>
    <xf numFmtId="164" fontId="3" fillId="0" borderId="6" xfId="0" applyNumberFormat="1" applyFont="1" applyBorder="1" applyAlignment="1">
      <alignment vertical="center" wrapText="1"/>
    </xf>
    <xf numFmtId="0" fontId="3" fillId="0" borderId="6" xfId="0" applyNumberFormat="1" applyFont="1" applyBorder="1" applyAlignment="1">
      <alignment vertical="center" wrapText="1"/>
    </xf>
    <xf numFmtId="164" fontId="3" fillId="0" borderId="7" xfId="0" applyNumberFormat="1" applyFont="1" applyBorder="1" applyAlignment="1">
      <alignment horizontal="right" vertical="center" wrapText="1"/>
    </xf>
    <xf numFmtId="164" fontId="2" fillId="5" borderId="0" xfId="0" applyNumberFormat="1" applyFont="1" applyFill="1" applyAlignment="1">
      <alignment vertical="center" wrapText="1"/>
    </xf>
    <xf numFmtId="0" fontId="2" fillId="0" borderId="5" xfId="0" applyNumberFormat="1" applyFont="1" applyBorder="1" applyAlignment="1">
      <alignment horizontal="center" vertical="center" wrapText="1"/>
    </xf>
    <xf numFmtId="164" fontId="2" fillId="0" borderId="6" xfId="0" applyNumberFormat="1" applyFont="1" applyBorder="1" applyAlignment="1">
      <alignment horizontal="left" vertical="center" wrapText="1"/>
    </xf>
    <xf numFmtId="0" fontId="2"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6" xfId="0" applyNumberFormat="1" applyFont="1" applyBorder="1" applyAlignment="1">
      <alignment horizontal="right" vertical="center" wrapText="1"/>
    </xf>
    <xf numFmtId="164" fontId="2" fillId="0" borderId="7" xfId="0" applyNumberFormat="1" applyFont="1" applyBorder="1" applyAlignment="1">
      <alignment horizontal="right" vertical="center" wrapText="1"/>
    </xf>
    <xf numFmtId="164" fontId="3" fillId="5" borderId="0" xfId="0" applyNumberFormat="1" applyFont="1" applyFill="1" applyAlignment="1">
      <alignment vertical="center" wrapText="1"/>
    </xf>
    <xf numFmtId="164" fontId="2" fillId="2" borderId="6" xfId="0" quotePrefix="1" applyNumberFormat="1" applyFont="1" applyFill="1" applyBorder="1" applyAlignment="1">
      <alignment horizontal="right" vertical="center" wrapText="1"/>
    </xf>
    <xf numFmtId="164" fontId="2" fillId="4" borderId="6" xfId="0" quotePrefix="1" applyNumberFormat="1" applyFont="1" applyFill="1" applyBorder="1" applyAlignment="1">
      <alignment horizontal="right" vertical="center" wrapText="1"/>
    </xf>
    <xf numFmtId="164" fontId="2" fillId="2" borderId="7" xfId="0" quotePrefix="1" applyNumberFormat="1" applyFont="1" applyFill="1" applyBorder="1" applyAlignment="1">
      <alignment horizontal="right" vertical="center" wrapText="1"/>
    </xf>
    <xf numFmtId="0" fontId="3" fillId="0" borderId="5" xfId="0" applyNumberFormat="1" applyFont="1" applyBorder="1" applyAlignment="1">
      <alignment horizontal="center" vertical="center" wrapText="1"/>
    </xf>
    <xf numFmtId="164" fontId="3" fillId="2" borderId="6" xfId="0" quotePrefix="1" applyNumberFormat="1" applyFont="1" applyFill="1" applyBorder="1" applyAlignment="1">
      <alignment horizontal="right" vertical="center" wrapText="1"/>
    </xf>
    <xf numFmtId="164" fontId="3" fillId="2" borderId="7" xfId="0" quotePrefix="1" applyNumberFormat="1" applyFont="1" applyFill="1" applyBorder="1" applyAlignment="1">
      <alignment horizontal="right" vertical="center" wrapText="1"/>
    </xf>
    <xf numFmtId="0" fontId="3" fillId="0" borderId="6"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6" xfId="0" applyNumberFormat="1" applyFont="1" applyBorder="1" applyAlignment="1">
      <alignment horizontal="left" vertical="center" wrapText="1"/>
    </xf>
    <xf numFmtId="164" fontId="3" fillId="0" borderId="7" xfId="0" applyNumberFormat="1" applyFont="1" applyBorder="1" applyAlignment="1">
      <alignment vertical="center" wrapText="1"/>
    </xf>
    <xf numFmtId="164" fontId="2" fillId="0" borderId="6" xfId="0" applyNumberFormat="1" applyFont="1" applyBorder="1" applyAlignment="1">
      <alignment vertical="center" wrapText="1"/>
    </xf>
    <xf numFmtId="164" fontId="2" fillId="0" borderId="7" xfId="0" applyNumberFormat="1" applyFont="1" applyBorder="1" applyAlignment="1">
      <alignment vertical="center" wrapText="1"/>
    </xf>
    <xf numFmtId="164" fontId="2" fillId="4" borderId="6" xfId="0" applyNumberFormat="1" applyFont="1" applyFill="1" applyBorder="1" applyAlignment="1">
      <alignment vertical="center" wrapText="1"/>
    </xf>
    <xf numFmtId="164" fontId="2" fillId="2" borderId="6" xfId="1" applyNumberFormat="1" applyFont="1" applyFill="1" applyBorder="1" applyAlignment="1">
      <alignment horizontal="right" vertical="center" wrapText="1"/>
    </xf>
    <xf numFmtId="164" fontId="2" fillId="2" borderId="7" xfId="1" applyNumberFormat="1" applyFont="1" applyFill="1" applyBorder="1" applyAlignment="1">
      <alignment horizontal="right" vertical="center" wrapText="1"/>
    </xf>
    <xf numFmtId="0" fontId="2" fillId="2" borderId="5" xfId="0" quotePrefix="1" applyNumberFormat="1" applyFont="1" applyFill="1" applyBorder="1" applyAlignment="1">
      <alignment horizontal="center" vertical="center" wrapText="1"/>
    </xf>
    <xf numFmtId="164" fontId="2" fillId="2" borderId="6" xfId="0" applyNumberFormat="1" applyFont="1" applyFill="1" applyBorder="1" applyAlignment="1">
      <alignment horizontal="justify" vertical="center" wrapText="1"/>
    </xf>
    <xf numFmtId="164" fontId="3" fillId="2" borderId="6" xfId="0" applyNumberFormat="1" applyFont="1" applyFill="1" applyBorder="1" applyAlignment="1">
      <alignment horizontal="justify" vertical="center" wrapText="1"/>
    </xf>
    <xf numFmtId="164" fontId="3" fillId="0" borderId="6" xfId="0" applyNumberFormat="1" applyFont="1" applyBorder="1" applyAlignment="1">
      <alignment horizontal="justify" vertical="center" wrapText="1"/>
    </xf>
    <xf numFmtId="164" fontId="7" fillId="2" borderId="7" xfId="0" applyNumberFormat="1" applyFont="1" applyFill="1" applyBorder="1" applyAlignment="1">
      <alignment horizontal="right" vertical="center" wrapText="1"/>
    </xf>
    <xf numFmtId="164" fontId="2" fillId="2" borderId="6" xfId="0" applyNumberFormat="1" applyFont="1" applyFill="1" applyBorder="1" applyAlignment="1">
      <alignment vertical="center" wrapText="1"/>
    </xf>
    <xf numFmtId="164" fontId="3" fillId="2" borderId="6" xfId="0" applyNumberFormat="1" applyFont="1" applyFill="1" applyBorder="1" applyAlignment="1">
      <alignment vertical="center" wrapText="1"/>
    </xf>
    <xf numFmtId="0"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left" vertical="center" wrapText="1"/>
    </xf>
    <xf numFmtId="0" fontId="3" fillId="2" borderId="9"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164" fontId="3" fillId="2" borderId="9" xfId="0" applyNumberFormat="1" applyFont="1" applyFill="1" applyBorder="1" applyAlignment="1">
      <alignment horizontal="right" vertical="center" wrapText="1"/>
    </xf>
    <xf numFmtId="164" fontId="3" fillId="2" borderId="10" xfId="0" applyNumberFormat="1" applyFont="1" applyFill="1" applyBorder="1" applyAlignment="1">
      <alignment horizontal="right" vertical="center" wrapText="1"/>
    </xf>
    <xf numFmtId="0" fontId="3" fillId="0" borderId="0" xfId="0" applyNumberFormat="1" applyFont="1" applyAlignment="1">
      <alignment vertical="center" wrapText="1"/>
    </xf>
    <xf numFmtId="164" fontId="3" fillId="0" borderId="0" xfId="0" applyNumberFormat="1" applyFont="1" applyBorder="1" applyAlignment="1">
      <alignment vertical="center" wrapText="1"/>
    </xf>
    <xf numFmtId="164" fontId="5" fillId="2" borderId="0" xfId="0" applyNumberFormat="1" applyFont="1" applyFill="1" applyBorder="1" applyAlignment="1">
      <alignment vertical="center" wrapText="1"/>
    </xf>
    <xf numFmtId="164" fontId="6" fillId="0" borderId="0" xfId="0" applyNumberFormat="1" applyFont="1" applyBorder="1" applyAlignment="1">
      <alignment vertical="center" wrapText="1"/>
    </xf>
    <xf numFmtId="164" fontId="2" fillId="0" borderId="0" xfId="0" applyNumberFormat="1" applyFont="1" applyBorder="1" applyAlignment="1">
      <alignment vertical="center" wrapText="1"/>
    </xf>
    <xf numFmtId="164" fontId="7" fillId="2" borderId="0" xfId="0" applyNumberFormat="1" applyFont="1" applyFill="1" applyBorder="1" applyAlignment="1">
      <alignment vertical="center" wrapText="1"/>
    </xf>
    <xf numFmtId="164" fontId="7" fillId="0" borderId="0" xfId="0" applyNumberFormat="1" applyFont="1" applyBorder="1" applyAlignment="1">
      <alignment vertical="center" wrapText="1"/>
    </xf>
    <xf numFmtId="164" fontId="2" fillId="5" borderId="0" xfId="0" applyNumberFormat="1" applyFont="1" applyFill="1" applyBorder="1" applyAlignment="1">
      <alignment vertical="center" wrapText="1"/>
    </xf>
    <xf numFmtId="164" fontId="3" fillId="5" borderId="0" xfId="0" applyNumberFormat="1" applyFont="1" applyFill="1" applyBorder="1" applyAlignment="1">
      <alignment vertical="center" wrapText="1"/>
    </xf>
    <xf numFmtId="0" fontId="3" fillId="0" borderId="0" xfId="0" applyNumberFormat="1" applyFont="1" applyBorder="1" applyAlignment="1">
      <alignment vertical="center" wrapText="1"/>
    </xf>
    <xf numFmtId="164" fontId="3" fillId="3" borderId="0" xfId="0" applyNumberFormat="1" applyFont="1" applyFill="1" applyBorder="1" applyAlignment="1">
      <alignment vertical="center" wrapText="1"/>
    </xf>
    <xf numFmtId="164" fontId="3" fillId="0" borderId="0"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164" fontId="3" fillId="0" borderId="11" xfId="0" applyNumberFormat="1" applyFont="1" applyBorder="1" applyAlignment="1">
      <alignment vertical="center" wrapText="1"/>
    </xf>
    <xf numFmtId="0" fontId="5" fillId="2" borderId="5"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164" fontId="5" fillId="2" borderId="6" xfId="0" applyNumberFormat="1" applyFont="1" applyFill="1" applyBorder="1" applyAlignment="1">
      <alignment horizontal="center" vertical="center" wrapText="1"/>
    </xf>
    <xf numFmtId="164" fontId="5" fillId="2" borderId="6" xfId="0" applyNumberFormat="1" applyFont="1" applyFill="1" applyBorder="1" applyAlignment="1">
      <alignment horizontal="right" vertical="center" wrapText="1"/>
    </xf>
    <xf numFmtId="164" fontId="5" fillId="2" borderId="7" xfId="0" applyNumberFormat="1" applyFont="1" applyFill="1" applyBorder="1" applyAlignment="1">
      <alignment horizontal="right" vertical="center" wrapText="1"/>
    </xf>
    <xf numFmtId="164" fontId="5" fillId="0" borderId="0" xfId="0" applyNumberFormat="1" applyFont="1" applyAlignment="1">
      <alignment vertical="center" wrapText="1"/>
    </xf>
    <xf numFmtId="0" fontId="5" fillId="0" borderId="6" xfId="0" applyFont="1" applyBorder="1" applyAlignment="1">
      <alignment vertical="center" wrapText="1"/>
    </xf>
    <xf numFmtId="164" fontId="9" fillId="2" borderId="0" xfId="0" applyNumberFormat="1" applyFont="1" applyFill="1" applyAlignment="1">
      <alignment vertical="center" wrapText="1"/>
    </xf>
    <xf numFmtId="164" fontId="10" fillId="2" borderId="0" xfId="0" applyNumberFormat="1" applyFont="1" applyFill="1" applyAlignment="1">
      <alignment vertical="center" wrapText="1"/>
    </xf>
    <xf numFmtId="0" fontId="10" fillId="2" borderId="0" xfId="0" applyNumberFormat="1" applyFont="1" applyFill="1" applyAlignment="1">
      <alignment vertical="center" wrapText="1"/>
    </xf>
    <xf numFmtId="164" fontId="11" fillId="2" borderId="0" xfId="0" applyNumberFormat="1" applyFont="1" applyFill="1" applyAlignment="1">
      <alignment vertical="center" wrapText="1"/>
    </xf>
    <xf numFmtId="164" fontId="11" fillId="2" borderId="0" xfId="0" applyNumberFormat="1" applyFont="1" applyFill="1" applyAlignment="1">
      <alignment horizontal="center" vertical="center" wrapText="1"/>
    </xf>
    <xf numFmtId="0" fontId="9" fillId="2" borderId="5" xfId="0" applyNumberFormat="1" applyFont="1" applyFill="1" applyBorder="1" applyAlignment="1">
      <alignment horizontal="center" vertical="center" wrapText="1"/>
    </xf>
    <xf numFmtId="164" fontId="9" fillId="2" borderId="6" xfId="0" applyNumberFormat="1" applyFont="1" applyFill="1" applyBorder="1" applyAlignment="1">
      <alignment horizontal="left" vertical="center" wrapText="1"/>
    </xf>
    <xf numFmtId="164" fontId="9" fillId="2" borderId="6" xfId="0" applyNumberFormat="1" applyFont="1" applyFill="1" applyBorder="1" applyAlignment="1">
      <alignment horizontal="center" vertical="center" wrapText="1"/>
    </xf>
    <xf numFmtId="164" fontId="9" fillId="2" borderId="6" xfId="0" applyNumberFormat="1" applyFont="1" applyFill="1" applyBorder="1" applyAlignment="1">
      <alignment horizontal="right" vertical="center" wrapText="1"/>
    </xf>
    <xf numFmtId="164" fontId="9" fillId="2" borderId="7" xfId="0" applyNumberFormat="1" applyFont="1" applyFill="1" applyBorder="1" applyAlignment="1">
      <alignment horizontal="right" vertical="center" wrapText="1"/>
    </xf>
    <xf numFmtId="164" fontId="9" fillId="2" borderId="0" xfId="0" applyNumberFormat="1" applyFont="1" applyFill="1" applyAlignment="1">
      <alignment horizontal="center" vertical="center" wrapText="1"/>
    </xf>
    <xf numFmtId="0"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left" vertical="center" wrapText="1"/>
    </xf>
    <xf numFmtId="164" fontId="4" fillId="2" borderId="6" xfId="0" applyNumberFormat="1" applyFont="1" applyFill="1" applyBorder="1" applyAlignment="1">
      <alignment horizontal="center" vertical="center" wrapText="1"/>
    </xf>
    <xf numFmtId="164" fontId="4" fillId="2" borderId="6" xfId="0" applyNumberFormat="1"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164" fontId="4" fillId="2" borderId="0" xfId="0" applyNumberFormat="1" applyFont="1" applyFill="1" applyAlignment="1">
      <alignment horizontal="center" vertical="center" wrapText="1"/>
    </xf>
    <xf numFmtId="0" fontId="11" fillId="2" borderId="5" xfId="0" applyNumberFormat="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164" fontId="11" fillId="2" borderId="6" xfId="0" applyNumberFormat="1" applyFont="1" applyFill="1" applyBorder="1" applyAlignment="1">
      <alignment horizontal="right" vertical="center" wrapText="1"/>
    </xf>
    <xf numFmtId="164" fontId="11" fillId="2" borderId="7" xfId="0" applyNumberFormat="1" applyFont="1" applyFill="1" applyBorder="1" applyAlignment="1">
      <alignment horizontal="right" vertical="center" wrapText="1"/>
    </xf>
    <xf numFmtId="164" fontId="4" fillId="2" borderId="6" xfId="0" applyNumberFormat="1" applyFont="1" applyFill="1" applyBorder="1" applyAlignment="1">
      <alignment vertical="center" wrapText="1"/>
    </xf>
    <xf numFmtId="164" fontId="3" fillId="2" borderId="6" xfId="1" applyNumberFormat="1" applyFont="1" applyFill="1" applyBorder="1" applyAlignment="1">
      <alignment vertical="center" wrapText="1"/>
    </xf>
    <xf numFmtId="164" fontId="11" fillId="2" borderId="6" xfId="0" applyNumberFormat="1" applyFont="1" applyFill="1" applyBorder="1" applyAlignment="1">
      <alignment horizontal="left" vertical="center" wrapText="1"/>
    </xf>
    <xf numFmtId="164" fontId="3" fillId="2" borderId="6" xfId="2" applyNumberFormat="1" applyFont="1" applyFill="1" applyBorder="1" applyAlignment="1">
      <alignment horizontal="justify" vertical="center" wrapText="1" shrinkToFit="1"/>
    </xf>
    <xf numFmtId="164" fontId="11" fillId="2" borderId="6" xfId="0" applyNumberFormat="1" applyFont="1" applyFill="1" applyBorder="1" applyAlignment="1">
      <alignment vertical="center" wrapText="1"/>
    </xf>
    <xf numFmtId="0" fontId="10" fillId="2" borderId="8" xfId="0" applyNumberFormat="1" applyFont="1" applyFill="1" applyBorder="1" applyAlignment="1">
      <alignment vertical="center" wrapText="1"/>
    </xf>
    <xf numFmtId="164" fontId="10" fillId="2" borderId="9" xfId="0" applyNumberFormat="1" applyFont="1" applyFill="1" applyBorder="1" applyAlignment="1">
      <alignment vertical="center" wrapText="1"/>
    </xf>
    <xf numFmtId="164" fontId="10" fillId="2" borderId="9" xfId="0" applyNumberFormat="1" applyFont="1" applyFill="1" applyBorder="1" applyAlignment="1">
      <alignment horizontal="right" vertical="center" wrapText="1"/>
    </xf>
    <xf numFmtId="164" fontId="10" fillId="2" borderId="10" xfId="0" applyNumberFormat="1" applyFont="1" applyFill="1" applyBorder="1" applyAlignment="1">
      <alignment horizontal="right" vertical="center" wrapText="1"/>
    </xf>
    <xf numFmtId="164" fontId="7" fillId="2" borderId="0" xfId="0" applyNumberFormat="1" applyFont="1" applyFill="1" applyBorder="1" applyAlignment="1">
      <alignment horizontal="center" vertical="center" wrapText="1"/>
    </xf>
    <xf numFmtId="164" fontId="13" fillId="2" borderId="0" xfId="0" applyNumberFormat="1" applyFont="1" applyFill="1" applyAlignment="1">
      <alignment vertical="center" wrapText="1"/>
    </xf>
    <xf numFmtId="164" fontId="5" fillId="4" borderId="0" xfId="0" applyNumberFormat="1" applyFont="1" applyFill="1" applyBorder="1" applyAlignment="1">
      <alignment vertical="center" wrapText="1"/>
    </xf>
    <xf numFmtId="164" fontId="2" fillId="2" borderId="6"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15" fillId="2" borderId="5" xfId="0" applyNumberFormat="1" applyFont="1" applyFill="1" applyBorder="1" applyAlignment="1">
      <alignment horizontal="center" vertical="center" wrapText="1"/>
    </xf>
    <xf numFmtId="0" fontId="3" fillId="2" borderId="0" xfId="0" applyNumberFormat="1" applyFont="1" applyFill="1" applyAlignment="1">
      <alignment vertical="center" wrapText="1"/>
    </xf>
    <xf numFmtId="164" fontId="5" fillId="2" borderId="6" xfId="1" applyNumberFormat="1" applyFont="1" applyFill="1" applyBorder="1" applyAlignment="1">
      <alignment vertical="center" wrapText="1"/>
    </xf>
    <xf numFmtId="164" fontId="5" fillId="2" borderId="6" xfId="0" applyNumberFormat="1" applyFont="1" applyFill="1" applyBorder="1" applyAlignment="1">
      <alignment vertical="center" wrapText="1"/>
    </xf>
    <xf numFmtId="164" fontId="4" fillId="2" borderId="6" xfId="1" applyNumberFormat="1" applyFont="1" applyFill="1" applyBorder="1" applyAlignment="1">
      <alignment vertical="center" wrapText="1"/>
    </xf>
    <xf numFmtId="164" fontId="5" fillId="4" borderId="6" xfId="1" applyNumberFormat="1" applyFont="1" applyFill="1" applyBorder="1" applyAlignment="1">
      <alignment vertical="center" wrapText="1"/>
    </xf>
    <xf numFmtId="164" fontId="5" fillId="4" borderId="6" xfId="0" applyNumberFormat="1" applyFont="1" applyFill="1" applyBorder="1" applyAlignment="1">
      <alignment vertical="center" wrapText="1"/>
    </xf>
    <xf numFmtId="164" fontId="15" fillId="2" borderId="0" xfId="0" applyNumberFormat="1" applyFont="1" applyFill="1" applyAlignment="1">
      <alignment vertical="center" wrapText="1"/>
    </xf>
    <xf numFmtId="164" fontId="2" fillId="2" borderId="5" xfId="0" applyNumberFormat="1"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164" fontId="7" fillId="2" borderId="6" xfId="0" applyNumberFormat="1" applyFont="1" applyFill="1" applyBorder="1" applyAlignment="1">
      <alignment vertical="center" wrapText="1"/>
    </xf>
    <xf numFmtId="164" fontId="7" fillId="2" borderId="7" xfId="0" applyNumberFormat="1" applyFont="1" applyFill="1" applyBorder="1" applyAlignment="1">
      <alignment horizontal="center" vertical="center" wrapText="1"/>
    </xf>
    <xf numFmtId="164" fontId="7" fillId="2" borderId="0" xfId="0" applyNumberFormat="1" applyFont="1" applyFill="1" applyAlignment="1">
      <alignment vertical="center" wrapText="1"/>
    </xf>
    <xf numFmtId="164" fontId="4" fillId="2" borderId="7" xfId="0" applyNumberFormat="1" applyFont="1" applyFill="1" applyBorder="1" applyAlignment="1">
      <alignment horizontal="center" vertical="center" wrapText="1"/>
    </xf>
    <xf numFmtId="164" fontId="4" fillId="2" borderId="0" xfId="0" applyNumberFormat="1" applyFont="1" applyFill="1" applyAlignment="1">
      <alignment vertical="center" wrapText="1"/>
    </xf>
    <xf numFmtId="164" fontId="5" fillId="2" borderId="7" xfId="0" applyNumberFormat="1" applyFont="1" applyFill="1" applyBorder="1" applyAlignment="1">
      <alignment horizontal="center" vertical="center" wrapText="1"/>
    </xf>
    <xf numFmtId="164" fontId="2" fillId="2" borderId="6" xfId="0" quotePrefix="1" applyNumberFormat="1" applyFont="1" applyFill="1" applyBorder="1" applyAlignment="1">
      <alignment horizontal="center" vertical="center" wrapText="1"/>
    </xf>
    <xf numFmtId="164" fontId="2" fillId="2" borderId="6" xfId="0" quotePrefix="1" applyNumberFormat="1" applyFont="1" applyFill="1" applyBorder="1" applyAlignment="1">
      <alignment vertical="center" wrapText="1"/>
    </xf>
    <xf numFmtId="164" fontId="3" fillId="2" borderId="6" xfId="0" quotePrefix="1" applyNumberFormat="1" applyFont="1" applyFill="1" applyBorder="1" applyAlignment="1">
      <alignment vertical="center" wrapText="1"/>
    </xf>
    <xf numFmtId="164"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vertical="center" wrapText="1"/>
    </xf>
    <xf numFmtId="164" fontId="3" fillId="2" borderId="10" xfId="0" applyNumberFormat="1" applyFont="1" applyFill="1" applyBorder="1" applyAlignment="1">
      <alignment horizontal="center" vertical="center" wrapText="1"/>
    </xf>
    <xf numFmtId="164" fontId="3" fillId="5" borderId="0" xfId="0" applyNumberFormat="1" applyFont="1" applyFill="1" applyAlignment="1">
      <alignment horizontal="center" vertical="center" wrapText="1"/>
    </xf>
    <xf numFmtId="164" fontId="2" fillId="5" borderId="6" xfId="0" applyNumberFormat="1" applyFont="1" applyFill="1" applyBorder="1" applyAlignment="1">
      <alignment horizontal="right" vertical="center" wrapText="1"/>
    </xf>
    <xf numFmtId="164" fontId="3" fillId="5" borderId="6" xfId="0" applyNumberFormat="1" applyFont="1" applyFill="1" applyBorder="1" applyAlignment="1">
      <alignment horizontal="right" vertical="center" wrapText="1"/>
    </xf>
    <xf numFmtId="164" fontId="7" fillId="5" borderId="6" xfId="0" applyNumberFormat="1" applyFont="1" applyFill="1" applyBorder="1" applyAlignment="1">
      <alignment horizontal="right" vertical="center" wrapText="1"/>
    </xf>
    <xf numFmtId="164" fontId="4" fillId="5" borderId="6" xfId="0" applyNumberFormat="1" applyFont="1" applyFill="1" applyBorder="1" applyAlignment="1">
      <alignment horizontal="right" vertical="center" wrapText="1"/>
    </xf>
    <xf numFmtId="164" fontId="5" fillId="5" borderId="6" xfId="0" applyNumberFormat="1" applyFont="1" applyFill="1" applyBorder="1" applyAlignment="1">
      <alignment horizontal="right" vertical="center" wrapText="1"/>
    </xf>
    <xf numFmtId="164" fontId="2" fillId="5" borderId="6" xfId="0" quotePrefix="1" applyNumberFormat="1" applyFont="1" applyFill="1" applyBorder="1" applyAlignment="1">
      <alignment horizontal="right" vertical="center" wrapText="1"/>
    </xf>
    <xf numFmtId="164" fontId="3" fillId="5" borderId="9" xfId="0" applyNumberFormat="1" applyFont="1" applyFill="1" applyBorder="1" applyAlignment="1">
      <alignment horizontal="center" vertical="center" wrapText="1"/>
    </xf>
    <xf numFmtId="165" fontId="4" fillId="2" borderId="6" xfId="0" applyNumberFormat="1" applyFont="1" applyFill="1" applyBorder="1" applyAlignment="1">
      <alignment horizontal="right" vertical="center" wrapText="1"/>
    </xf>
    <xf numFmtId="165" fontId="5" fillId="2" borderId="6" xfId="1" applyNumberFormat="1" applyFont="1" applyFill="1" applyBorder="1" applyAlignment="1">
      <alignment horizontal="right" vertical="center" wrapText="1"/>
    </xf>
    <xf numFmtId="0" fontId="15" fillId="2" borderId="6" xfId="0" applyNumberFormat="1" applyFont="1" applyFill="1" applyBorder="1" applyAlignment="1">
      <alignment horizontal="center" vertical="center" wrapText="1"/>
    </xf>
    <xf numFmtId="0" fontId="15" fillId="5" borderId="6" xfId="0" applyNumberFormat="1" applyFont="1" applyFill="1" applyBorder="1" applyAlignment="1">
      <alignment horizontal="center" vertical="center" wrapText="1"/>
    </xf>
    <xf numFmtId="0" fontId="15" fillId="2" borderId="6" xfId="0" applyNumberFormat="1" applyFont="1" applyFill="1" applyBorder="1" applyAlignment="1">
      <alignment vertical="center" wrapText="1"/>
    </xf>
    <xf numFmtId="0" fontId="15" fillId="2" borderId="7" xfId="0" applyNumberFormat="1" applyFont="1" applyFill="1" applyBorder="1" applyAlignment="1">
      <alignment horizontal="center" vertical="center" wrapText="1"/>
    </xf>
    <xf numFmtId="0" fontId="16" fillId="2" borderId="0" xfId="0" applyNumberFormat="1" applyFont="1" applyFill="1" applyAlignment="1">
      <alignment vertical="center" wrapText="1"/>
    </xf>
    <xf numFmtId="0" fontId="15" fillId="2" borderId="16"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3" fillId="2" borderId="16" xfId="0" applyNumberFormat="1" applyFont="1" applyFill="1" applyBorder="1" applyAlignment="1">
      <alignment horizontal="center" vertical="center" wrapText="1"/>
    </xf>
    <xf numFmtId="0" fontId="5" fillId="2" borderId="16"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164" fontId="2" fillId="2" borderId="5" xfId="0" applyNumberFormat="1" applyFont="1" applyFill="1" applyBorder="1" applyAlignment="1">
      <alignment horizontal="justify" vertical="center" wrapText="1"/>
    </xf>
    <xf numFmtId="164" fontId="3" fillId="2" borderId="5" xfId="0" applyNumberFormat="1" applyFont="1" applyFill="1" applyBorder="1" applyAlignment="1">
      <alignment horizontal="justify" vertical="center" wrapText="1"/>
    </xf>
    <xf numFmtId="49" fontId="4" fillId="2" borderId="5" xfId="0" applyNumberFormat="1" applyFont="1" applyFill="1" applyBorder="1" applyAlignment="1">
      <alignment horizontal="left" vertical="center" wrapText="1"/>
    </xf>
    <xf numFmtId="4" fontId="5" fillId="2" borderId="5" xfId="0" applyNumberFormat="1" applyFont="1" applyFill="1" applyBorder="1" applyAlignment="1">
      <alignment horizontal="justify" vertical="center" wrapText="1"/>
    </xf>
    <xf numFmtId="0" fontId="4" fillId="2" borderId="5" xfId="0" applyFont="1" applyFill="1" applyBorder="1" applyAlignment="1">
      <alignment horizontal="justify" vertical="center" wrapText="1"/>
    </xf>
    <xf numFmtId="0" fontId="5" fillId="2" borderId="5" xfId="0" applyFont="1" applyFill="1" applyBorder="1" applyAlignment="1">
      <alignment horizontal="justify" vertical="center" wrapText="1"/>
    </xf>
    <xf numFmtId="164" fontId="7" fillId="2" borderId="5" xfId="0" applyNumberFormat="1" applyFont="1" applyFill="1" applyBorder="1" applyAlignment="1">
      <alignment horizontal="justify" vertical="center" wrapText="1"/>
    </xf>
    <xf numFmtId="164" fontId="3" fillId="2" borderId="5" xfId="2" applyNumberFormat="1" applyFont="1" applyFill="1" applyBorder="1" applyAlignment="1">
      <alignment horizontal="justify" vertical="center" wrapText="1"/>
    </xf>
    <xf numFmtId="164" fontId="4" fillId="2" borderId="5" xfId="0" applyNumberFormat="1" applyFont="1" applyFill="1" applyBorder="1" applyAlignment="1">
      <alignment horizontal="left" vertical="center" wrapText="1"/>
    </xf>
    <xf numFmtId="164" fontId="5" fillId="2" borderId="5" xfId="0" applyNumberFormat="1" applyFont="1" applyFill="1" applyBorder="1" applyAlignment="1">
      <alignment horizontal="justify" vertical="center" wrapText="1"/>
    </xf>
    <xf numFmtId="164" fontId="4" fillId="2" borderId="5" xfId="0" applyNumberFormat="1" applyFont="1" applyFill="1" applyBorder="1" applyAlignment="1">
      <alignment horizontal="justify" vertical="center" wrapText="1"/>
    </xf>
    <xf numFmtId="164" fontId="5" fillId="4" borderId="5" xfId="0" applyNumberFormat="1" applyFont="1" applyFill="1" applyBorder="1" applyAlignment="1">
      <alignment horizontal="justify" vertical="center" wrapText="1"/>
    </xf>
    <xf numFmtId="0" fontId="4" fillId="4" borderId="16" xfId="0" applyNumberFormat="1" applyFont="1" applyFill="1" applyBorder="1" applyAlignment="1">
      <alignment horizontal="center" vertical="center" wrapText="1"/>
    </xf>
    <xf numFmtId="164" fontId="4" fillId="4" borderId="5" xfId="0" applyNumberFormat="1" applyFont="1" applyFill="1" applyBorder="1" applyAlignment="1">
      <alignment horizontal="justify" vertical="center" wrapText="1"/>
    </xf>
    <xf numFmtId="164" fontId="4" fillId="4" borderId="7" xfId="0" applyNumberFormat="1" applyFont="1" applyFill="1" applyBorder="1" applyAlignment="1">
      <alignment horizontal="center" vertical="center" wrapText="1"/>
    </xf>
    <xf numFmtId="164" fontId="9" fillId="0" borderId="0" xfId="0" applyNumberFormat="1" applyFont="1" applyAlignment="1">
      <alignment vertical="center" wrapText="1"/>
    </xf>
    <xf numFmtId="164" fontId="9" fillId="0" borderId="5" xfId="0" applyNumberFormat="1" applyFont="1" applyBorder="1" applyAlignment="1">
      <alignment vertical="center" wrapText="1"/>
    </xf>
    <xf numFmtId="164" fontId="9" fillId="0" borderId="8" xfId="0" applyNumberFormat="1" applyFont="1" applyBorder="1" applyAlignment="1">
      <alignment vertical="center" wrapText="1"/>
    </xf>
    <xf numFmtId="164" fontId="9" fillId="2" borderId="13" xfId="0" applyNumberFormat="1" applyFont="1" applyFill="1" applyBorder="1" applyAlignment="1">
      <alignment horizontal="right" vertical="center" wrapText="1"/>
    </xf>
    <xf numFmtId="0"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left" vertical="center" wrapText="1"/>
    </xf>
    <xf numFmtId="0" fontId="2" fillId="2" borderId="6" xfId="0" applyNumberFormat="1" applyFont="1" applyFill="1" applyBorder="1" applyAlignment="1">
      <alignment horizontal="center" vertical="center" wrapText="1"/>
    </xf>
    <xf numFmtId="164" fontId="9" fillId="0" borderId="0" xfId="0" applyNumberFormat="1" applyFont="1" applyAlignment="1">
      <alignment horizontal="right" vertical="center" wrapText="1"/>
    </xf>
    <xf numFmtId="164" fontId="9" fillId="0" borderId="13" xfId="0" applyNumberFormat="1" applyFont="1" applyBorder="1" applyAlignment="1">
      <alignment horizontal="right" vertical="center" wrapText="1"/>
    </xf>
    <xf numFmtId="164" fontId="9" fillId="0" borderId="14" xfId="0" applyNumberFormat="1" applyFont="1" applyBorder="1" applyAlignment="1">
      <alignment horizontal="right" vertical="center" wrapText="1"/>
    </xf>
    <xf numFmtId="164" fontId="9" fillId="0" borderId="6" xfId="0" applyNumberFormat="1" applyFont="1" applyBorder="1" applyAlignment="1">
      <alignment horizontal="right" vertical="center" wrapText="1"/>
    </xf>
    <xf numFmtId="164" fontId="9" fillId="0" borderId="9" xfId="0" applyNumberFormat="1" applyFont="1" applyBorder="1" applyAlignment="1">
      <alignment horizontal="right" vertical="center" wrapText="1"/>
    </xf>
    <xf numFmtId="164" fontId="9" fillId="2" borderId="22" xfId="0" applyNumberFormat="1" applyFont="1" applyFill="1" applyBorder="1" applyAlignment="1">
      <alignment horizontal="right" vertical="center" wrapText="1"/>
    </xf>
    <xf numFmtId="164" fontId="9" fillId="0" borderId="22" xfId="0" applyNumberFormat="1" applyFont="1" applyBorder="1" applyAlignment="1">
      <alignment horizontal="right" vertical="center" wrapText="1"/>
    </xf>
    <xf numFmtId="164" fontId="9" fillId="0" borderId="23" xfId="0" applyNumberFormat="1" applyFont="1" applyBorder="1" applyAlignment="1">
      <alignment horizontal="right" vertical="center" wrapText="1"/>
    </xf>
    <xf numFmtId="164" fontId="17" fillId="0" borderId="0" xfId="0" applyNumberFormat="1" applyFont="1" applyAlignment="1">
      <alignment vertical="center" wrapText="1"/>
    </xf>
    <xf numFmtId="164" fontId="17" fillId="0" borderId="7" xfId="0" applyNumberFormat="1" applyFont="1" applyBorder="1" applyAlignment="1">
      <alignment vertical="center" wrapText="1"/>
    </xf>
    <xf numFmtId="164" fontId="17" fillId="0" borderId="10" xfId="0" applyNumberFormat="1" applyFont="1" applyBorder="1" applyAlignment="1">
      <alignment vertical="center" wrapText="1"/>
    </xf>
    <xf numFmtId="164" fontId="18" fillId="2" borderId="6" xfId="0" applyNumberFormat="1" applyFont="1" applyFill="1" applyBorder="1" applyAlignment="1">
      <alignment horizontal="left" vertical="center" wrapText="1"/>
    </xf>
    <xf numFmtId="0" fontId="18" fillId="2" borderId="6" xfId="0" applyNumberFormat="1" applyFont="1" applyFill="1" applyBorder="1" applyAlignment="1">
      <alignment horizontal="center" vertical="center" wrapText="1"/>
    </xf>
    <xf numFmtId="164" fontId="18" fillId="2" borderId="6" xfId="0" applyNumberFormat="1" applyFont="1" applyFill="1" applyBorder="1" applyAlignment="1">
      <alignment horizontal="center" vertical="center" wrapText="1"/>
    </xf>
    <xf numFmtId="164" fontId="5" fillId="3" borderId="6" xfId="0" applyNumberFormat="1" applyFont="1" applyFill="1" applyBorder="1" applyAlignment="1">
      <alignment horizontal="right" vertical="center" wrapText="1"/>
    </xf>
    <xf numFmtId="164" fontId="18" fillId="2" borderId="6" xfId="0" applyNumberFormat="1" applyFont="1" applyFill="1" applyBorder="1" applyAlignment="1">
      <alignment horizontal="right" vertical="center" wrapText="1"/>
    </xf>
    <xf numFmtId="164" fontId="5" fillId="0" borderId="0" xfId="0" applyNumberFormat="1" applyFont="1" applyBorder="1" applyAlignment="1">
      <alignment vertical="center" wrapText="1"/>
    </xf>
    <xf numFmtId="164" fontId="5" fillId="0" borderId="6"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164" fontId="5" fillId="0" borderId="6" xfId="0" applyNumberFormat="1" applyFont="1" applyFill="1" applyBorder="1" applyAlignment="1">
      <alignment horizontal="right" vertical="center" wrapText="1"/>
    </xf>
    <xf numFmtId="164" fontId="5" fillId="2" borderId="6" xfId="1" applyNumberFormat="1" applyFont="1" applyFill="1" applyBorder="1" applyAlignment="1">
      <alignment horizontal="right" vertical="center" wrapText="1"/>
    </xf>
    <xf numFmtId="164" fontId="5" fillId="2" borderId="7" xfId="1" applyNumberFormat="1" applyFont="1" applyFill="1" applyBorder="1" applyAlignment="1">
      <alignment horizontal="right" vertical="center" wrapText="1"/>
    </xf>
    <xf numFmtId="0" fontId="5" fillId="0" borderId="5" xfId="0" applyNumberFormat="1" applyFont="1" applyBorder="1" applyAlignment="1">
      <alignment horizontal="center" vertical="center" wrapText="1"/>
    </xf>
    <xf numFmtId="164" fontId="5" fillId="2" borderId="6" xfId="0" applyNumberFormat="1" applyFont="1" applyFill="1" applyBorder="1" applyAlignment="1">
      <alignment horizontal="left" vertical="center" wrapText="1"/>
    </xf>
    <xf numFmtId="0" fontId="5" fillId="2" borderId="6" xfId="0" applyNumberFormat="1" applyFont="1" applyFill="1" applyBorder="1" applyAlignment="1">
      <alignment horizontal="center" vertical="center" wrapText="1"/>
    </xf>
    <xf numFmtId="164" fontId="5" fillId="2" borderId="6" xfId="0" quotePrefix="1" applyNumberFormat="1" applyFont="1" applyFill="1" applyBorder="1" applyAlignment="1">
      <alignment horizontal="right" vertical="center" wrapText="1"/>
    </xf>
    <xf numFmtId="164" fontId="5" fillId="0" borderId="6" xfId="0" applyNumberFormat="1" applyFont="1" applyBorder="1" applyAlignment="1">
      <alignment horizontal="right" vertical="center" wrapText="1"/>
    </xf>
    <xf numFmtId="164" fontId="5" fillId="2" borderId="7" xfId="0" quotePrefix="1" applyNumberFormat="1" applyFont="1" applyFill="1" applyBorder="1" applyAlignment="1">
      <alignment horizontal="right" vertical="center" wrapText="1"/>
    </xf>
    <xf numFmtId="164" fontId="5" fillId="5" borderId="0" xfId="0" applyNumberFormat="1" applyFont="1" applyFill="1" applyBorder="1" applyAlignment="1">
      <alignment vertical="center" wrapText="1"/>
    </xf>
    <xf numFmtId="164" fontId="5" fillId="5" borderId="0" xfId="0" applyNumberFormat="1" applyFont="1" applyFill="1" applyAlignment="1">
      <alignment vertical="center" wrapText="1"/>
    </xf>
    <xf numFmtId="164" fontId="5" fillId="0" borderId="6" xfId="0" applyNumberFormat="1" applyFont="1" applyBorder="1" applyAlignment="1">
      <alignment vertical="center" wrapText="1"/>
    </xf>
    <xf numFmtId="0" fontId="3" fillId="0" borderId="6" xfId="1" applyNumberFormat="1" applyFont="1" applyFill="1" applyBorder="1" applyAlignment="1">
      <alignment horizontal="center" vertical="center" wrapText="1"/>
    </xf>
    <xf numFmtId="164" fontId="3" fillId="2" borderId="6" xfId="1" applyNumberFormat="1" applyFont="1" applyFill="1" applyBorder="1" applyAlignment="1">
      <alignment horizontal="center" vertical="center" wrapText="1"/>
    </xf>
    <xf numFmtId="164" fontId="3" fillId="4" borderId="6" xfId="1" applyNumberFormat="1" applyFont="1" applyFill="1" applyBorder="1" applyAlignment="1">
      <alignment horizontal="right" vertical="center" wrapText="1"/>
    </xf>
    <xf numFmtId="164" fontId="3" fillId="4" borderId="7" xfId="1" applyNumberFormat="1" applyFont="1" applyFill="1" applyBorder="1" applyAlignment="1">
      <alignment horizontal="right" vertical="center" wrapText="1"/>
    </xf>
    <xf numFmtId="0" fontId="19" fillId="0" borderId="0" xfId="0" applyFont="1"/>
    <xf numFmtId="4" fontId="15" fillId="0" borderId="6"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0" fontId="5" fillId="4" borderId="5" xfId="0" applyNumberFormat="1" applyFont="1" applyFill="1" applyBorder="1" applyAlignment="1">
      <alignment horizontal="center" vertical="center" wrapText="1"/>
    </xf>
    <xf numFmtId="4" fontId="4" fillId="4" borderId="6" xfId="0" applyNumberFormat="1" applyFont="1" applyFill="1" applyBorder="1" applyAlignment="1">
      <alignment vertical="center" wrapText="1"/>
    </xf>
    <xf numFmtId="164" fontId="4" fillId="4" borderId="6" xfId="0" applyNumberFormat="1" applyFont="1" applyFill="1" applyBorder="1" applyAlignment="1">
      <alignment vertical="center" wrapText="1"/>
    </xf>
    <xf numFmtId="4" fontId="4" fillId="0" borderId="6" xfId="0" applyNumberFormat="1" applyFont="1" applyBorder="1" applyAlignment="1">
      <alignment vertical="center" wrapText="1"/>
    </xf>
    <xf numFmtId="0" fontId="3" fillId="0" borderId="5" xfId="0" applyNumberFormat="1" applyFont="1" applyFill="1" applyBorder="1" applyAlignment="1">
      <alignment horizontal="center" vertical="center" wrapText="1"/>
    </xf>
    <xf numFmtId="4" fontId="3" fillId="0" borderId="6" xfId="0" applyNumberFormat="1" applyFont="1" applyFill="1" applyBorder="1" applyAlignment="1">
      <alignment vertical="center" wrapText="1"/>
    </xf>
    <xf numFmtId="0" fontId="5" fillId="0" borderId="5" xfId="0" applyNumberFormat="1" applyFont="1" applyFill="1" applyBorder="1" applyAlignment="1">
      <alignment horizontal="center" vertical="center" wrapText="1"/>
    </xf>
    <xf numFmtId="4" fontId="4" fillId="0" borderId="6" xfId="0" applyNumberFormat="1" applyFont="1" applyFill="1" applyBorder="1" applyAlignment="1">
      <alignment vertical="center" wrapText="1"/>
    </xf>
    <xf numFmtId="4" fontId="5" fillId="0" borderId="6" xfId="0" applyNumberFormat="1" applyFont="1" applyFill="1" applyBorder="1" applyAlignment="1">
      <alignment vertical="center" wrapText="1"/>
    </xf>
    <xf numFmtId="164" fontId="4" fillId="0" borderId="6" xfId="0" applyNumberFormat="1" applyFont="1" applyFill="1" applyBorder="1" applyAlignment="1">
      <alignment vertical="center" wrapText="1"/>
    </xf>
    <xf numFmtId="0" fontId="11" fillId="0" borderId="6" xfId="0" applyFont="1" applyBorder="1" applyAlignment="1">
      <alignment vertical="center" wrapText="1"/>
    </xf>
    <xf numFmtId="164" fontId="3" fillId="0" borderId="6" xfId="0" applyNumberFormat="1" applyFont="1" applyFill="1" applyBorder="1" applyAlignment="1">
      <alignment vertical="center" wrapText="1"/>
    </xf>
    <xf numFmtId="0" fontId="3" fillId="0" borderId="6" xfId="0" applyFont="1" applyBorder="1" applyAlignment="1">
      <alignment vertical="center" wrapText="1"/>
    </xf>
    <xf numFmtId="0" fontId="11" fillId="2" borderId="6" xfId="0" applyFont="1" applyFill="1" applyBorder="1" applyAlignment="1">
      <alignment horizontal="left" vertical="center" wrapText="1"/>
    </xf>
    <xf numFmtId="0" fontId="2" fillId="4" borderId="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6" xfId="0" applyFont="1" applyBorder="1" applyAlignment="1">
      <alignment horizontal="left" vertical="center" wrapText="1"/>
    </xf>
    <xf numFmtId="0" fontId="20" fillId="0" borderId="0" xfId="0" applyFont="1"/>
    <xf numFmtId="0" fontId="3" fillId="2" borderId="5" xfId="0" applyFont="1" applyFill="1" applyBorder="1" applyAlignment="1">
      <alignment horizontal="center" vertical="center" wrapText="1"/>
    </xf>
    <xf numFmtId="0" fontId="3" fillId="0" borderId="6" xfId="0" applyFont="1" applyBorder="1" applyAlignment="1">
      <alignment horizontal="left" vertical="center" wrapText="1"/>
    </xf>
    <xf numFmtId="164" fontId="11" fillId="0" borderId="6" xfId="0" applyNumberFormat="1" applyFont="1" applyBorder="1" applyAlignment="1">
      <alignment horizontal="right" vertical="center" wrapText="1"/>
    </xf>
    <xf numFmtId="0" fontId="11" fillId="2" borderId="5" xfId="0" applyFont="1" applyFill="1" applyBorder="1" applyAlignment="1">
      <alignment horizontal="center" vertical="center" wrapText="1"/>
    </xf>
    <xf numFmtId="0" fontId="11" fillId="0" borderId="6" xfId="0" applyFont="1" applyBorder="1" applyAlignment="1">
      <alignment horizontal="left" vertical="center" wrapText="1"/>
    </xf>
    <xf numFmtId="0" fontId="3" fillId="2" borderId="6" xfId="0" applyFont="1" applyFill="1" applyBorder="1" applyAlignment="1">
      <alignment horizontal="left" vertical="center" wrapText="1"/>
    </xf>
    <xf numFmtId="0" fontId="3" fillId="4" borderId="5" xfId="0" applyNumberFormat="1" applyFont="1" applyFill="1" applyBorder="1" applyAlignment="1">
      <alignment horizontal="center" vertical="center" wrapText="1"/>
    </xf>
    <xf numFmtId="4" fontId="2" fillId="4" borderId="6" xfId="0" applyNumberFormat="1" applyFont="1" applyFill="1" applyBorder="1" applyAlignment="1">
      <alignment horizontal="left" vertical="center" wrapText="1"/>
    </xf>
    <xf numFmtId="4" fontId="2" fillId="0" borderId="6" xfId="0" applyNumberFormat="1" applyFont="1" applyBorder="1" applyAlignment="1">
      <alignment horizontal="left" vertical="center" wrapText="1"/>
    </xf>
    <xf numFmtId="4" fontId="3" fillId="0" borderId="6" xfId="0" applyNumberFormat="1" applyFont="1" applyBorder="1" applyAlignment="1">
      <alignment horizontal="left" vertical="center" wrapText="1"/>
    </xf>
    <xf numFmtId="4" fontId="2" fillId="0" borderId="6" xfId="0" applyNumberFormat="1" applyFont="1" applyBorder="1" applyAlignment="1">
      <alignment vertical="center" wrapText="1"/>
    </xf>
    <xf numFmtId="4" fontId="3" fillId="4" borderId="6" xfId="0" applyNumberFormat="1" applyFont="1" applyFill="1" applyBorder="1" applyAlignment="1">
      <alignment horizontal="left" vertical="center" wrapText="1"/>
    </xf>
    <xf numFmtId="4" fontId="3" fillId="0" borderId="6" xfId="3" applyNumberFormat="1" applyFont="1" applyBorder="1" applyAlignment="1">
      <alignment vertical="center" wrapText="1"/>
    </xf>
    <xf numFmtId="4" fontId="3" fillId="4" borderId="6" xfId="3" applyNumberFormat="1" applyFont="1" applyFill="1" applyBorder="1" applyAlignment="1">
      <alignment vertical="center" wrapText="1"/>
    </xf>
    <xf numFmtId="0" fontId="3" fillId="0" borderId="8" xfId="0" applyNumberFormat="1" applyFont="1" applyBorder="1" applyAlignment="1">
      <alignment horizontal="center" vertical="center" wrapText="1"/>
    </xf>
    <xf numFmtId="4" fontId="3" fillId="0" borderId="9" xfId="0" applyNumberFormat="1" applyFont="1" applyBorder="1" applyAlignment="1">
      <alignment vertical="center" wrapText="1"/>
    </xf>
    <xf numFmtId="164" fontId="3" fillId="0" borderId="9" xfId="0" applyNumberFormat="1" applyFont="1" applyBorder="1" applyAlignment="1">
      <alignment vertical="center" wrapText="1"/>
    </xf>
    <xf numFmtId="4" fontId="15" fillId="0" borderId="7" xfId="0" applyNumberFormat="1" applyFont="1" applyBorder="1" applyAlignment="1">
      <alignment horizontal="center" vertical="center" wrapText="1"/>
    </xf>
    <xf numFmtId="164" fontId="4" fillId="4" borderId="7" xfId="0" applyNumberFormat="1" applyFont="1" applyFill="1" applyBorder="1" applyAlignment="1">
      <alignment vertical="center" wrapText="1"/>
    </xf>
    <xf numFmtId="164" fontId="4" fillId="2" borderId="7" xfId="0" applyNumberFormat="1" applyFont="1" applyFill="1" applyBorder="1" applyAlignment="1">
      <alignment vertical="center" wrapText="1"/>
    </xf>
    <xf numFmtId="164" fontId="3" fillId="2" borderId="7" xfId="0" applyNumberFormat="1" applyFont="1" applyFill="1" applyBorder="1" applyAlignment="1">
      <alignment vertical="center" wrapText="1"/>
    </xf>
    <xf numFmtId="164" fontId="4" fillId="0" borderId="7"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164" fontId="11" fillId="0" borderId="7" xfId="0" applyNumberFormat="1" applyFont="1" applyBorder="1" applyAlignment="1">
      <alignment horizontal="right" vertical="center" wrapText="1"/>
    </xf>
    <xf numFmtId="164" fontId="11" fillId="2" borderId="7" xfId="0" applyNumberFormat="1" applyFont="1" applyFill="1" applyBorder="1" applyAlignment="1">
      <alignment vertical="center" wrapText="1"/>
    </xf>
    <xf numFmtId="164" fontId="3" fillId="0" borderId="10" xfId="0" applyNumberFormat="1" applyFont="1" applyBorder="1" applyAlignment="1">
      <alignment vertical="center" wrapText="1"/>
    </xf>
    <xf numFmtId="0" fontId="23" fillId="0" borderId="0" xfId="0" applyFont="1"/>
    <xf numFmtId="164" fontId="9" fillId="0" borderId="0" xfId="0" applyNumberFormat="1" applyFont="1" applyAlignment="1">
      <alignment horizontal="center" vertical="center" wrapText="1"/>
    </xf>
    <xf numFmtId="164" fontId="9" fillId="2" borderId="6" xfId="0" applyNumberFormat="1" applyFont="1" applyFill="1" applyBorder="1" applyAlignment="1">
      <alignment horizontal="center" vertical="center" wrapText="1"/>
    </xf>
    <xf numFmtId="164" fontId="9" fillId="2" borderId="22" xfId="0" applyNumberFormat="1" applyFont="1" applyFill="1" applyBorder="1" applyAlignment="1">
      <alignment horizontal="center" vertical="center" wrapText="1"/>
    </xf>
    <xf numFmtId="164" fontId="9" fillId="0" borderId="18" xfId="0" applyNumberFormat="1" applyFont="1" applyBorder="1" applyAlignment="1">
      <alignment horizontal="center" vertical="center" wrapText="1"/>
    </xf>
    <xf numFmtId="164" fontId="9" fillId="0" borderId="19" xfId="0" applyNumberFormat="1" applyFont="1" applyBorder="1" applyAlignment="1">
      <alignment horizontal="center" vertical="center" wrapText="1"/>
    </xf>
    <xf numFmtId="164" fontId="9" fillId="0" borderId="20" xfId="0" applyNumberFormat="1" applyFont="1" applyBorder="1" applyAlignment="1">
      <alignment horizontal="center" vertical="center" wrapText="1"/>
    </xf>
    <xf numFmtId="164" fontId="9" fillId="2" borderId="12"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164" fontId="9" fillId="2" borderId="21" xfId="0" applyNumberFormat="1" applyFont="1" applyFill="1" applyBorder="1" applyAlignment="1">
      <alignment horizontal="center" vertical="center" wrapText="1"/>
    </xf>
    <xf numFmtId="164" fontId="9" fillId="2" borderId="13" xfId="0" applyNumberFormat="1" applyFont="1" applyFill="1" applyBorder="1" applyAlignment="1">
      <alignment horizontal="center" vertical="center" wrapText="1"/>
    </xf>
    <xf numFmtId="164" fontId="17" fillId="0" borderId="24" xfId="0" applyNumberFormat="1" applyFont="1" applyBorder="1" applyAlignment="1">
      <alignment horizontal="center" vertical="center" wrapText="1"/>
    </xf>
    <xf numFmtId="164" fontId="17" fillId="0" borderId="25" xfId="0" applyNumberFormat="1" applyFont="1" applyBorder="1" applyAlignment="1">
      <alignment horizontal="center" vertical="center" wrapText="1"/>
    </xf>
    <xf numFmtId="164" fontId="17" fillId="0" borderId="26" xfId="0" applyNumberFormat="1" applyFont="1" applyBorder="1" applyAlignment="1">
      <alignment horizontal="center" vertical="center" wrapText="1"/>
    </xf>
    <xf numFmtId="164" fontId="3" fillId="2" borderId="0" xfId="0" applyNumberFormat="1" applyFont="1" applyFill="1" applyAlignment="1">
      <alignment horizontal="center" vertical="center" wrapText="1"/>
    </xf>
    <xf numFmtId="164" fontId="2" fillId="2" borderId="3" xfId="0" applyNumberFormat="1" applyFont="1" applyFill="1" applyBorder="1" applyAlignment="1">
      <alignment horizontal="center" vertical="center" wrapText="1"/>
    </xf>
    <xf numFmtId="164" fontId="2" fillId="5" borderId="6"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64" fontId="14" fillId="2" borderId="0" xfId="0" applyNumberFormat="1" applyFont="1" applyFill="1" applyAlignment="1">
      <alignment horizontal="center" vertical="center" wrapText="1"/>
    </xf>
    <xf numFmtId="164" fontId="7" fillId="2" borderId="1" xfId="0" applyNumberFormat="1" applyFont="1" applyFill="1" applyBorder="1" applyAlignment="1">
      <alignment horizontal="right" vertical="center" wrapText="1"/>
    </xf>
    <xf numFmtId="0" fontId="2" fillId="2" borderId="15"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7" fillId="2" borderId="0" xfId="0" applyNumberFormat="1" applyFont="1" applyFill="1" applyAlignment="1">
      <alignment horizontal="center" vertical="center" wrapText="1"/>
    </xf>
    <xf numFmtId="0" fontId="22" fillId="0" borderId="0" xfId="0" applyFont="1" applyAlignment="1">
      <alignment horizontal="center"/>
    </xf>
    <xf numFmtId="0" fontId="2" fillId="0" borderId="0" xfId="0"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4" fontId="15" fillId="0" borderId="3" xfId="0" applyNumberFormat="1" applyFont="1" applyBorder="1" applyAlignment="1">
      <alignment horizontal="center" vertical="center" wrapText="1"/>
    </xf>
    <xf numFmtId="4" fontId="15" fillId="0" borderId="6" xfId="0" applyNumberFormat="1" applyFont="1" applyBorder="1" applyAlignment="1">
      <alignment horizontal="center" vertical="center" wrapText="1"/>
    </xf>
    <xf numFmtId="4" fontId="15" fillId="0" borderId="4"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NumberFormat="1" applyFont="1" applyAlignment="1">
      <alignment horizontal="center" vertical="center" wrapText="1"/>
    </xf>
    <xf numFmtId="164" fontId="2" fillId="3" borderId="6" xfId="0" applyNumberFormat="1" applyFont="1" applyFill="1" applyBorder="1" applyAlignment="1">
      <alignment horizontal="center" vertical="center" wrapText="1"/>
    </xf>
    <xf numFmtId="164" fontId="2" fillId="2" borderId="0" xfId="0" applyNumberFormat="1" applyFont="1" applyFill="1" applyAlignment="1">
      <alignment horizontal="center" vertical="center" wrapText="1"/>
    </xf>
    <xf numFmtId="164" fontId="3"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164" fontId="2" fillId="2" borderId="3" xfId="0" applyNumberFormat="1" applyFont="1" applyFill="1" applyBorder="1" applyAlignment="1">
      <alignment horizontal="left" vertical="center" wrapText="1"/>
    </xf>
    <xf numFmtId="164" fontId="2" fillId="2" borderId="6"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164" fontId="2" fillId="2" borderId="3" xfId="0" applyNumberFormat="1" applyFont="1" applyFill="1" applyBorder="1" applyAlignment="1">
      <alignment vertical="center" wrapText="1"/>
    </xf>
    <xf numFmtId="164" fontId="2" fillId="2" borderId="5" xfId="0" applyNumberFormat="1" applyFont="1" applyFill="1" applyBorder="1" applyAlignment="1">
      <alignment horizontal="left" vertical="center" wrapText="1"/>
    </xf>
    <xf numFmtId="164" fontId="2" fillId="2" borderId="4" xfId="0" applyNumberFormat="1" applyFont="1" applyFill="1" applyBorder="1" applyAlignment="1">
      <alignment vertical="center" wrapText="1"/>
    </xf>
    <xf numFmtId="164" fontId="9" fillId="2" borderId="0" xfId="0" applyNumberFormat="1" applyFont="1" applyFill="1" applyAlignment="1">
      <alignment horizontal="center" vertical="center" wrapText="1"/>
    </xf>
    <xf numFmtId="164" fontId="9" fillId="2" borderId="7" xfId="0" applyNumberFormat="1" applyFont="1" applyFill="1" applyBorder="1" applyAlignment="1">
      <alignment horizontal="center" vertical="center" wrapText="1"/>
    </xf>
    <xf numFmtId="164" fontId="12" fillId="2" borderId="0" xfId="0" applyNumberFormat="1" applyFont="1" applyFill="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164" fontId="9" fillId="2" borderId="3" xfId="0" applyNumberFormat="1" applyFont="1" applyFill="1" applyBorder="1" applyAlignment="1">
      <alignment horizontal="left" vertical="center" wrapText="1"/>
    </xf>
    <xf numFmtId="164" fontId="9" fillId="2" borderId="6" xfId="0" applyNumberFormat="1" applyFont="1" applyFill="1" applyBorder="1" applyAlignment="1">
      <alignment horizontal="left" vertical="center" wrapText="1"/>
    </xf>
    <xf numFmtId="164" fontId="9" fillId="2" borderId="1" xfId="0" applyNumberFormat="1" applyFont="1" applyFill="1" applyBorder="1" applyAlignment="1">
      <alignment horizontal="center" vertical="center" wrapText="1"/>
    </xf>
    <xf numFmtId="164" fontId="9" fillId="2" borderId="4" xfId="0" applyNumberFormat="1" applyFont="1" applyFill="1" applyBorder="1" applyAlignment="1">
      <alignment horizontal="center" vertical="center" wrapText="1"/>
    </xf>
    <xf numFmtId="164" fontId="9" fillId="0" borderId="13" xfId="0" applyNumberFormat="1" applyFont="1" applyBorder="1" applyAlignment="1">
      <alignment vertical="center" wrapText="1"/>
    </xf>
    <xf numFmtId="164" fontId="9" fillId="0" borderId="14" xfId="0" applyNumberFormat="1" applyFont="1" applyBorder="1" applyAlignment="1">
      <alignment vertical="center" wrapText="1"/>
    </xf>
    <xf numFmtId="164" fontId="9" fillId="0" borderId="27" xfId="0" applyNumberFormat="1" applyFont="1" applyBorder="1" applyAlignment="1">
      <alignment horizontal="center" vertical="center" wrapText="1"/>
    </xf>
    <xf numFmtId="164" fontId="9" fillId="0" borderId="28" xfId="0" applyNumberFormat="1" applyFont="1" applyBorder="1" applyAlignment="1">
      <alignment horizontal="center" vertical="center" wrapText="1"/>
    </xf>
    <xf numFmtId="164" fontId="9" fillId="0" borderId="29" xfId="0" applyNumberFormat="1" applyFont="1" applyBorder="1" applyAlignment="1">
      <alignment horizontal="center" vertical="center" wrapText="1"/>
    </xf>
    <xf numFmtId="164" fontId="9" fillId="0" borderId="6" xfId="0" applyNumberFormat="1" applyFont="1" applyBorder="1" applyAlignment="1">
      <alignment vertical="center" wrapText="1"/>
    </xf>
  </cellXfs>
  <cellStyles count="4">
    <cellStyle name="Comma" xfId="1" builtinId="3"/>
    <cellStyle name="Normal" xfId="0" builtinId="0"/>
    <cellStyle name="Normal 2" xfId="3"/>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workbookViewId="0">
      <selection activeCell="A2" sqref="A2:M2"/>
    </sheetView>
  </sheetViews>
  <sheetFormatPr defaultRowHeight="15.75" x14ac:dyDescent="0.25"/>
  <cols>
    <col min="1" max="1" width="34.7109375" style="218" customWidth="1"/>
    <col min="2" max="2" width="14.140625" style="218" customWidth="1"/>
    <col min="3" max="3" width="13.42578125" style="225" bestFit="1" customWidth="1"/>
    <col min="4" max="4" width="12.42578125" style="225" bestFit="1" customWidth="1"/>
    <col min="5" max="5" width="11.28515625" style="225" bestFit="1" customWidth="1"/>
    <col min="6" max="6" width="12.42578125" style="225" bestFit="1" customWidth="1"/>
    <col min="7" max="8" width="11.28515625" style="225" bestFit="1" customWidth="1"/>
    <col min="9" max="11" width="13.42578125" style="225" bestFit="1" customWidth="1"/>
    <col min="12" max="12" width="13.28515625" style="225" customWidth="1"/>
    <col min="13" max="13" width="13" style="233" customWidth="1"/>
    <col min="14" max="16384" width="9.140625" style="218"/>
  </cols>
  <sheetData>
    <row r="1" spans="1:13" x14ac:dyDescent="0.25">
      <c r="A1" s="309"/>
      <c r="B1" s="309"/>
      <c r="C1" s="309"/>
      <c r="D1" s="309"/>
      <c r="E1" s="309"/>
      <c r="F1" s="309"/>
      <c r="G1" s="309"/>
      <c r="H1" s="309"/>
      <c r="I1" s="309"/>
      <c r="J1" s="309"/>
      <c r="K1" s="309"/>
      <c r="L1" s="309"/>
      <c r="M1" s="309"/>
    </row>
    <row r="2" spans="1:13" ht="15.75" customHeight="1" x14ac:dyDescent="0.25">
      <c r="A2" s="309" t="s">
        <v>474</v>
      </c>
      <c r="B2" s="309"/>
      <c r="C2" s="309"/>
      <c r="D2" s="309"/>
      <c r="E2" s="309"/>
      <c r="F2" s="309"/>
      <c r="G2" s="309"/>
      <c r="H2" s="309"/>
      <c r="I2" s="309"/>
      <c r="J2" s="309"/>
      <c r="K2" s="309"/>
      <c r="L2" s="309"/>
      <c r="M2" s="309"/>
    </row>
    <row r="3" spans="1:13" ht="16.5" thickBot="1" x14ac:dyDescent="0.3"/>
    <row r="4" spans="1:13" ht="16.5" customHeight="1" thickTop="1" x14ac:dyDescent="0.25">
      <c r="A4" s="312" t="s">
        <v>462</v>
      </c>
      <c r="B4" s="368" t="s">
        <v>536</v>
      </c>
      <c r="C4" s="315" t="s">
        <v>469</v>
      </c>
      <c r="D4" s="316"/>
      <c r="E4" s="316"/>
      <c r="F4" s="316"/>
      <c r="G4" s="316"/>
      <c r="H4" s="316"/>
      <c r="I4" s="316" t="s">
        <v>7</v>
      </c>
      <c r="J4" s="316"/>
      <c r="K4" s="316"/>
      <c r="L4" s="317"/>
      <c r="M4" s="319" t="s">
        <v>250</v>
      </c>
    </row>
    <row r="5" spans="1:13" ht="15.75" customHeight="1" x14ac:dyDescent="0.25">
      <c r="A5" s="313"/>
      <c r="B5" s="369"/>
      <c r="C5" s="318" t="s">
        <v>258</v>
      </c>
      <c r="D5" s="310" t="s">
        <v>8</v>
      </c>
      <c r="E5" s="310" t="s">
        <v>9</v>
      </c>
      <c r="F5" s="310" t="s">
        <v>10</v>
      </c>
      <c r="G5" s="310" t="s">
        <v>11</v>
      </c>
      <c r="H5" s="310" t="s">
        <v>12</v>
      </c>
      <c r="I5" s="318" t="s">
        <v>258</v>
      </c>
      <c r="J5" s="310" t="s">
        <v>530</v>
      </c>
      <c r="K5" s="310" t="s">
        <v>15</v>
      </c>
      <c r="L5" s="311" t="s">
        <v>461</v>
      </c>
      <c r="M5" s="320"/>
    </row>
    <row r="6" spans="1:13" x14ac:dyDescent="0.25">
      <c r="A6" s="314"/>
      <c r="B6" s="370"/>
      <c r="C6" s="318"/>
      <c r="D6" s="310"/>
      <c r="E6" s="310"/>
      <c r="F6" s="310"/>
      <c r="G6" s="310"/>
      <c r="H6" s="310"/>
      <c r="I6" s="318"/>
      <c r="J6" s="310"/>
      <c r="K6" s="310"/>
      <c r="L6" s="311"/>
      <c r="M6" s="321"/>
    </row>
    <row r="7" spans="1:13" ht="47.25" x14ac:dyDescent="0.25">
      <c r="A7" s="219" t="s">
        <v>463</v>
      </c>
      <c r="B7" s="366"/>
      <c r="C7" s="221">
        <f>C8+C11+C12</f>
        <v>206749.02728571428</v>
      </c>
      <c r="D7" s="221">
        <f t="shared" ref="D7:L7" si="0">D8+D11+D12</f>
        <v>55499.467000000004</v>
      </c>
      <c r="E7" s="221">
        <f t="shared" si="0"/>
        <v>7680</v>
      </c>
      <c r="F7" s="221">
        <f t="shared" si="0"/>
        <v>98211.304285714286</v>
      </c>
      <c r="G7" s="221">
        <f t="shared" si="0"/>
        <v>31625.161</v>
      </c>
      <c r="H7" s="221">
        <f t="shared" si="0"/>
        <v>13733.095000000001</v>
      </c>
      <c r="I7" s="221">
        <f t="shared" si="0"/>
        <v>206749.02728571428</v>
      </c>
      <c r="J7" s="221">
        <f t="shared" si="0"/>
        <v>142729.4368</v>
      </c>
      <c r="K7" s="221">
        <f t="shared" si="0"/>
        <v>52954.329507142858</v>
      </c>
      <c r="L7" s="221">
        <f t="shared" si="0"/>
        <v>11065.260978571428</v>
      </c>
      <c r="M7" s="234"/>
    </row>
    <row r="8" spans="1:13" ht="47.25" x14ac:dyDescent="0.25">
      <c r="A8" s="219" t="s">
        <v>524</v>
      </c>
      <c r="B8" s="366"/>
      <c r="C8" s="226">
        <f>C9+C10</f>
        <v>63179.467000000004</v>
      </c>
      <c r="D8" s="226">
        <f t="shared" ref="D8:E8" si="1">D9+D10</f>
        <v>55499.467000000004</v>
      </c>
      <c r="E8" s="226">
        <f t="shared" si="1"/>
        <v>7680</v>
      </c>
      <c r="F8" s="228"/>
      <c r="G8" s="228"/>
      <c r="H8" s="228"/>
      <c r="I8" s="228">
        <f>I9+I10</f>
        <v>63179.467000000004</v>
      </c>
      <c r="J8" s="228">
        <f t="shared" ref="J8:L8" si="2">J9+J10</f>
        <v>46077.157699999996</v>
      </c>
      <c r="K8" s="228">
        <f t="shared" si="2"/>
        <v>11134.4967</v>
      </c>
      <c r="L8" s="228">
        <f t="shared" si="2"/>
        <v>5967.8126000000002</v>
      </c>
      <c r="M8" s="234"/>
    </row>
    <row r="9" spans="1:13" x14ac:dyDescent="0.25">
      <c r="A9" s="219" t="s">
        <v>522</v>
      </c>
      <c r="B9" s="366"/>
      <c r="C9" s="226">
        <v>39088.357000000004</v>
      </c>
      <c r="D9" s="228">
        <v>31408.357</v>
      </c>
      <c r="E9" s="228">
        <v>7680</v>
      </c>
      <c r="F9" s="228"/>
      <c r="G9" s="228"/>
      <c r="H9" s="228"/>
      <c r="I9" s="228">
        <v>39088.357000000004</v>
      </c>
      <c r="J9" s="228">
        <v>27704.130700000002</v>
      </c>
      <c r="K9" s="228">
        <v>7107.0446999999995</v>
      </c>
      <c r="L9" s="231">
        <v>4277.1815999999999</v>
      </c>
      <c r="M9" s="234" t="s">
        <v>532</v>
      </c>
    </row>
    <row r="10" spans="1:13" x14ac:dyDescent="0.25">
      <c r="A10" s="219" t="s">
        <v>523</v>
      </c>
      <c r="B10" s="366"/>
      <c r="C10" s="226">
        <v>24091.11</v>
      </c>
      <c r="D10" s="226">
        <v>24091.11</v>
      </c>
      <c r="E10" s="228"/>
      <c r="F10" s="228"/>
      <c r="G10" s="228"/>
      <c r="H10" s="228"/>
      <c r="I10" s="226">
        <v>24091.11</v>
      </c>
      <c r="J10" s="228">
        <v>18373.026999999998</v>
      </c>
      <c r="K10" s="228">
        <v>4027.4520000000002</v>
      </c>
      <c r="L10" s="231">
        <v>1690.6310000000001</v>
      </c>
      <c r="M10" s="234" t="s">
        <v>533</v>
      </c>
    </row>
    <row r="11" spans="1:13" ht="31.5" x14ac:dyDescent="0.25">
      <c r="A11" s="219" t="s">
        <v>525</v>
      </c>
      <c r="B11" s="366"/>
      <c r="C11" s="221">
        <v>80883.846285714273</v>
      </c>
      <c r="D11" s="130"/>
      <c r="E11" s="130"/>
      <c r="F11" s="130">
        <v>51911.304285714286</v>
      </c>
      <c r="G11" s="130">
        <v>20239.447</v>
      </c>
      <c r="H11" s="130">
        <v>8733.0950000000012</v>
      </c>
      <c r="I11" s="130">
        <v>80883.846285714273</v>
      </c>
      <c r="J11" s="130">
        <v>52772.279300000002</v>
      </c>
      <c r="K11" s="130">
        <v>23014.11860714286</v>
      </c>
      <c r="L11" s="230">
        <v>5097.4483785714283</v>
      </c>
      <c r="M11" s="234" t="s">
        <v>534</v>
      </c>
    </row>
    <row r="12" spans="1:13" ht="31.5" x14ac:dyDescent="0.25">
      <c r="A12" s="219" t="s">
        <v>526</v>
      </c>
      <c r="B12" s="371"/>
      <c r="C12" s="225">
        <v>62685.714</v>
      </c>
      <c r="D12" s="228"/>
      <c r="E12" s="228"/>
      <c r="F12" s="228">
        <v>46300</v>
      </c>
      <c r="G12" s="228">
        <v>11385.714</v>
      </c>
      <c r="H12" s="228">
        <v>5000</v>
      </c>
      <c r="I12" s="228">
        <v>62685.714</v>
      </c>
      <c r="J12" s="228">
        <v>43879.999799999998</v>
      </c>
      <c r="K12" s="228">
        <v>18805.714200000002</v>
      </c>
      <c r="L12" s="231"/>
      <c r="M12" s="234" t="s">
        <v>535</v>
      </c>
    </row>
    <row r="13" spans="1:13" x14ac:dyDescent="0.25">
      <c r="A13" s="219"/>
      <c r="B13" s="366"/>
      <c r="C13" s="226"/>
      <c r="D13" s="228"/>
      <c r="E13" s="228"/>
      <c r="F13" s="228"/>
      <c r="G13" s="228"/>
      <c r="H13" s="228"/>
      <c r="I13" s="228"/>
      <c r="J13" s="228"/>
      <c r="K13" s="228"/>
      <c r="L13" s="231"/>
      <c r="M13" s="234"/>
    </row>
    <row r="14" spans="1:13" ht="16.5" thickBot="1" x14ac:dyDescent="0.3">
      <c r="A14" s="220"/>
      <c r="B14" s="367"/>
      <c r="C14" s="227"/>
      <c r="D14" s="229"/>
      <c r="E14" s="229"/>
      <c r="F14" s="229"/>
      <c r="G14" s="229"/>
      <c r="H14" s="229"/>
      <c r="I14" s="229"/>
      <c r="J14" s="229"/>
      <c r="K14" s="229"/>
      <c r="L14" s="232"/>
      <c r="M14" s="235"/>
    </row>
    <row r="15" spans="1:13" ht="16.5" thickTop="1" x14ac:dyDescent="0.25"/>
  </sheetData>
  <mergeCells count="17">
    <mergeCell ref="B4:B6"/>
    <mergeCell ref="A2:M2"/>
    <mergeCell ref="A1:M1"/>
    <mergeCell ref="K5:K6"/>
    <mergeCell ref="L5:L6"/>
    <mergeCell ref="A4:A6"/>
    <mergeCell ref="C4:H4"/>
    <mergeCell ref="I4:L4"/>
    <mergeCell ref="C5:C6"/>
    <mergeCell ref="D5:D6"/>
    <mergeCell ref="E5:E6"/>
    <mergeCell ref="F5:F6"/>
    <mergeCell ref="G5:G6"/>
    <mergeCell ref="H5:H6"/>
    <mergeCell ref="I5:I6"/>
    <mergeCell ref="J5:J6"/>
    <mergeCell ref="M4:M6"/>
  </mergeCells>
  <pageMargins left="1.0236220472440944" right="0.27559055118110237" top="0.74803149606299213" bottom="0.74803149606299213" header="0.31496062992125984" footer="0.31496062992125984"/>
  <pageSetup paperSize="9" scale="7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
  <sheetViews>
    <sheetView topLeftCell="A9" workbookViewId="0">
      <selection activeCell="G9" sqref="G9"/>
    </sheetView>
  </sheetViews>
  <sheetFormatPr defaultColWidth="10.85546875" defaultRowHeight="15.75" x14ac:dyDescent="0.25"/>
  <cols>
    <col min="1" max="1" width="6.28515625" style="160" customWidth="1"/>
    <col min="2" max="2" width="42.85546875" style="7" customWidth="1"/>
    <col min="3" max="3" width="15.28515625" style="4" customWidth="1"/>
    <col min="4" max="4" width="11.28515625" style="181" bestFit="1" customWidth="1"/>
    <col min="5" max="5" width="11.28515625" style="4" bestFit="1" customWidth="1"/>
    <col min="6" max="6" width="10.140625" style="7" bestFit="1" customWidth="1"/>
    <col min="7" max="8" width="11.28515625" style="7" bestFit="1" customWidth="1"/>
    <col min="9" max="9" width="10.85546875" style="7" bestFit="1" customWidth="1"/>
    <col min="10" max="10" width="10.7109375" style="7" customWidth="1"/>
    <col min="11" max="11" width="10.85546875" style="7" customWidth="1"/>
    <col min="12" max="16384" width="10.85546875" style="7"/>
  </cols>
  <sheetData>
    <row r="1" spans="1:11" x14ac:dyDescent="0.25">
      <c r="A1" s="326" t="s">
        <v>470</v>
      </c>
      <c r="B1" s="326"/>
      <c r="C1" s="326"/>
      <c r="D1" s="326"/>
      <c r="E1" s="326"/>
      <c r="F1" s="326"/>
      <c r="G1" s="326"/>
      <c r="H1" s="326"/>
      <c r="I1" s="326"/>
      <c r="J1" s="326"/>
      <c r="K1" s="326"/>
    </row>
    <row r="2" spans="1:11" s="5" customFormat="1" ht="54" customHeight="1" x14ac:dyDescent="0.25">
      <c r="A2" s="327" t="s">
        <v>521</v>
      </c>
      <c r="B2" s="327"/>
      <c r="C2" s="327"/>
      <c r="D2" s="327"/>
      <c r="E2" s="327"/>
      <c r="F2" s="327"/>
      <c r="G2" s="327"/>
      <c r="H2" s="327"/>
      <c r="I2" s="327"/>
      <c r="J2" s="327"/>
      <c r="K2" s="327"/>
    </row>
    <row r="3" spans="1:11" s="5" customFormat="1" x14ac:dyDescent="0.25">
      <c r="A3" s="335" t="s">
        <v>289</v>
      </c>
      <c r="B3" s="335"/>
      <c r="C3" s="335"/>
      <c r="D3" s="335"/>
      <c r="E3" s="335"/>
      <c r="F3" s="335"/>
      <c r="G3" s="335"/>
      <c r="H3" s="335"/>
      <c r="I3" s="335"/>
      <c r="J3" s="335"/>
      <c r="K3" s="335"/>
    </row>
    <row r="4" spans="1:11" ht="16.5" customHeight="1" thickBot="1" x14ac:dyDescent="0.3">
      <c r="A4" s="158" t="s">
        <v>293</v>
      </c>
      <c r="I4" s="328" t="s">
        <v>294</v>
      </c>
      <c r="J4" s="328"/>
      <c r="K4" s="328"/>
    </row>
    <row r="5" spans="1:11" s="166" customFormat="1" ht="32.25" customHeight="1" thickTop="1" x14ac:dyDescent="0.25">
      <c r="A5" s="329" t="s">
        <v>295</v>
      </c>
      <c r="B5" s="331" t="s">
        <v>296</v>
      </c>
      <c r="C5" s="323" t="s">
        <v>297</v>
      </c>
      <c r="D5" s="323" t="s">
        <v>456</v>
      </c>
      <c r="E5" s="323"/>
      <c r="F5" s="323"/>
      <c r="G5" s="323" t="s">
        <v>457</v>
      </c>
      <c r="H5" s="323"/>
      <c r="I5" s="323"/>
      <c r="J5" s="323"/>
      <c r="K5" s="333" t="s">
        <v>250</v>
      </c>
    </row>
    <row r="6" spans="1:11" s="166" customFormat="1" ht="19.5" customHeight="1" x14ac:dyDescent="0.25">
      <c r="A6" s="330"/>
      <c r="B6" s="332"/>
      <c r="C6" s="325"/>
      <c r="D6" s="324" t="s">
        <v>291</v>
      </c>
      <c r="E6" s="325" t="s">
        <v>299</v>
      </c>
      <c r="F6" s="325"/>
      <c r="G6" s="325" t="s">
        <v>298</v>
      </c>
      <c r="H6" s="325" t="s">
        <v>299</v>
      </c>
      <c r="I6" s="325"/>
      <c r="J6" s="325"/>
      <c r="K6" s="334"/>
    </row>
    <row r="7" spans="1:11" s="166" customFormat="1" ht="49.5" customHeight="1" x14ac:dyDescent="0.25">
      <c r="A7" s="330"/>
      <c r="B7" s="332"/>
      <c r="C7" s="325"/>
      <c r="D7" s="324"/>
      <c r="E7" s="156">
        <v>2021</v>
      </c>
      <c r="F7" s="156">
        <v>2022</v>
      </c>
      <c r="G7" s="325"/>
      <c r="H7" s="155" t="s">
        <v>300</v>
      </c>
      <c r="I7" s="155" t="s">
        <v>301</v>
      </c>
      <c r="J7" s="155" t="s">
        <v>302</v>
      </c>
      <c r="K7" s="334"/>
    </row>
    <row r="8" spans="1:11" s="195" customFormat="1" ht="12.75" x14ac:dyDescent="0.25">
      <c r="A8" s="196">
        <v>1</v>
      </c>
      <c r="B8" s="159">
        <v>2</v>
      </c>
      <c r="C8" s="191">
        <v>3</v>
      </c>
      <c r="D8" s="192"/>
      <c r="E8" s="191"/>
      <c r="F8" s="193"/>
      <c r="G8" s="191">
        <v>3</v>
      </c>
      <c r="H8" s="191">
        <v>4</v>
      </c>
      <c r="I8" s="191">
        <v>5</v>
      </c>
      <c r="J8" s="191">
        <v>6</v>
      </c>
      <c r="K8" s="194">
        <v>7</v>
      </c>
    </row>
    <row r="9" spans="1:11" s="5" customFormat="1" ht="27.75" customHeight="1" x14ac:dyDescent="0.25">
      <c r="A9" s="197"/>
      <c r="B9" s="167" t="s">
        <v>303</v>
      </c>
      <c r="C9" s="155"/>
      <c r="D9" s="30">
        <f>D10+D32+D47+D58+D67+D86+D99+D111+D122+D132+D143+D159+D167+D176+D179</f>
        <v>39088.357000000004</v>
      </c>
      <c r="E9" s="30">
        <f t="shared" ref="E9:J9" si="0">E10+E32+E47+E58+E67+E86+E99+E111+E122+E132+E143+E159+E167+E176+E179</f>
        <v>31408.357</v>
      </c>
      <c r="F9" s="30">
        <f t="shared" si="0"/>
        <v>7680</v>
      </c>
      <c r="G9" s="30">
        <f t="shared" si="0"/>
        <v>39088.357000000004</v>
      </c>
      <c r="H9" s="30">
        <f t="shared" si="0"/>
        <v>27704.130700000002</v>
      </c>
      <c r="I9" s="30">
        <f t="shared" si="0"/>
        <v>7107.0446999999995</v>
      </c>
      <c r="J9" s="30">
        <f t="shared" si="0"/>
        <v>4277.1815999999999</v>
      </c>
      <c r="K9" s="157"/>
    </row>
    <row r="10" spans="1:11" s="173" customFormat="1" ht="27.75" customHeight="1" x14ac:dyDescent="0.25">
      <c r="A10" s="201" t="s">
        <v>20</v>
      </c>
      <c r="B10" s="213" t="s">
        <v>202</v>
      </c>
      <c r="C10" s="135"/>
      <c r="D10" s="185">
        <f t="shared" ref="D10:D77" si="1">E10+F10</f>
        <v>4935</v>
      </c>
      <c r="E10" s="136">
        <v>4935</v>
      </c>
      <c r="F10" s="143"/>
      <c r="G10" s="136">
        <f>G11+G15+G18+G22+G24+G26+G28+G30</f>
        <v>4935</v>
      </c>
      <c r="H10" s="136">
        <f t="shared" ref="H10:J10" si="2">H11+H15+H18+H22+H24+H26+H28+H30</f>
        <v>3798.5</v>
      </c>
      <c r="I10" s="136">
        <f t="shared" si="2"/>
        <v>733.25</v>
      </c>
      <c r="J10" s="136">
        <f t="shared" si="2"/>
        <v>403.25</v>
      </c>
      <c r="K10" s="172"/>
    </row>
    <row r="11" spans="1:11" s="5" customFormat="1" ht="27.75" customHeight="1" x14ac:dyDescent="0.25">
      <c r="A11" s="197">
        <v>1</v>
      </c>
      <c r="B11" s="203" t="s">
        <v>304</v>
      </c>
      <c r="C11" s="155"/>
      <c r="D11" s="182">
        <f t="shared" si="1"/>
        <v>500</v>
      </c>
      <c r="E11" s="30">
        <v>500</v>
      </c>
      <c r="F11" s="93"/>
      <c r="G11" s="30">
        <f>SUM(G12:G14)</f>
        <v>500</v>
      </c>
      <c r="H11" s="30">
        <f>SUM(H12:H14)</f>
        <v>350</v>
      </c>
      <c r="I11" s="30">
        <f>SUM(I12:I14)</f>
        <v>100</v>
      </c>
      <c r="J11" s="30">
        <f>SUM(J12:J14)</f>
        <v>50</v>
      </c>
      <c r="K11" s="157"/>
    </row>
    <row r="12" spans="1:11" s="5" customFormat="1" ht="50.25" customHeight="1" x14ac:dyDescent="0.25">
      <c r="A12" s="197" t="s">
        <v>26</v>
      </c>
      <c r="B12" s="204" t="s">
        <v>305</v>
      </c>
      <c r="C12" s="53" t="s">
        <v>306</v>
      </c>
      <c r="D12" s="183">
        <f t="shared" si="1"/>
        <v>410</v>
      </c>
      <c r="E12" s="45">
        <v>410</v>
      </c>
      <c r="F12" s="94"/>
      <c r="G12" s="45">
        <v>410</v>
      </c>
      <c r="H12" s="45">
        <f>G12*70%</f>
        <v>287</v>
      </c>
      <c r="I12" s="45">
        <f>G12*20%</f>
        <v>82</v>
      </c>
      <c r="J12" s="45">
        <f>G12*10%</f>
        <v>41</v>
      </c>
      <c r="K12" s="157"/>
    </row>
    <row r="13" spans="1:11" s="5" customFormat="1" ht="50.25" customHeight="1" x14ac:dyDescent="0.25">
      <c r="A13" s="197" t="s">
        <v>26</v>
      </c>
      <c r="B13" s="204" t="s">
        <v>307</v>
      </c>
      <c r="C13" s="53" t="s">
        <v>308</v>
      </c>
      <c r="D13" s="183">
        <f t="shared" si="1"/>
        <v>50</v>
      </c>
      <c r="E13" s="45">
        <v>50</v>
      </c>
      <c r="F13" s="94"/>
      <c r="G13" s="45">
        <v>50</v>
      </c>
      <c r="H13" s="45">
        <f t="shared" ref="H13:H14" si="3">G13*70%</f>
        <v>35</v>
      </c>
      <c r="I13" s="45">
        <f t="shared" ref="I13:I14" si="4">G13*20%</f>
        <v>10</v>
      </c>
      <c r="J13" s="45">
        <f t="shared" ref="J13:J14" si="5">G13*10%</f>
        <v>5</v>
      </c>
      <c r="K13" s="157"/>
    </row>
    <row r="14" spans="1:11" s="5" customFormat="1" ht="50.25" customHeight="1" x14ac:dyDescent="0.25">
      <c r="A14" s="197" t="s">
        <v>26</v>
      </c>
      <c r="B14" s="204" t="s">
        <v>309</v>
      </c>
      <c r="C14" s="53" t="s">
        <v>310</v>
      </c>
      <c r="D14" s="183">
        <f t="shared" si="1"/>
        <v>40</v>
      </c>
      <c r="E14" s="45">
        <v>40</v>
      </c>
      <c r="F14" s="94"/>
      <c r="G14" s="45">
        <v>40</v>
      </c>
      <c r="H14" s="45">
        <f t="shared" si="3"/>
        <v>28</v>
      </c>
      <c r="I14" s="45">
        <f t="shared" si="4"/>
        <v>8</v>
      </c>
      <c r="J14" s="45">
        <f t="shared" si="5"/>
        <v>4</v>
      </c>
      <c r="K14" s="157"/>
    </row>
    <row r="15" spans="1:11" s="5" customFormat="1" ht="28.5" customHeight="1" x14ac:dyDescent="0.25">
      <c r="A15" s="197">
        <v>2</v>
      </c>
      <c r="B15" s="203" t="s">
        <v>65</v>
      </c>
      <c r="C15" s="155"/>
      <c r="D15" s="182">
        <f t="shared" si="1"/>
        <v>1050</v>
      </c>
      <c r="E15" s="30">
        <v>1050</v>
      </c>
      <c r="F15" s="93"/>
      <c r="G15" s="30">
        <f>G16+G17</f>
        <v>1050</v>
      </c>
      <c r="H15" s="30">
        <f t="shared" ref="H15:J15" si="6">H16+H17</f>
        <v>840</v>
      </c>
      <c r="I15" s="30">
        <f t="shared" si="6"/>
        <v>157.5</v>
      </c>
      <c r="J15" s="30">
        <f t="shared" si="6"/>
        <v>52.5</v>
      </c>
      <c r="K15" s="157"/>
    </row>
    <row r="16" spans="1:11" ht="60.75" customHeight="1" x14ac:dyDescent="0.25">
      <c r="A16" s="198" t="s">
        <v>26</v>
      </c>
      <c r="B16" s="204" t="s">
        <v>311</v>
      </c>
      <c r="C16" s="53" t="s">
        <v>312</v>
      </c>
      <c r="D16" s="183">
        <f t="shared" si="1"/>
        <v>600</v>
      </c>
      <c r="E16" s="45">
        <v>600</v>
      </c>
      <c r="F16" s="94"/>
      <c r="G16" s="45">
        <f>300*2</f>
        <v>600</v>
      </c>
      <c r="H16" s="45">
        <f>G16*0.8</f>
        <v>480</v>
      </c>
      <c r="I16" s="45">
        <f>G16*0.15</f>
        <v>90</v>
      </c>
      <c r="J16" s="45">
        <f>G16*0.05</f>
        <v>30</v>
      </c>
      <c r="K16" s="168"/>
    </row>
    <row r="17" spans="1:11" ht="55.5" customHeight="1" x14ac:dyDescent="0.25">
      <c r="A17" s="198" t="s">
        <v>26</v>
      </c>
      <c r="B17" s="204" t="s">
        <v>313</v>
      </c>
      <c r="C17" s="53" t="s">
        <v>314</v>
      </c>
      <c r="D17" s="183">
        <f t="shared" si="1"/>
        <v>450</v>
      </c>
      <c r="E17" s="45">
        <v>450</v>
      </c>
      <c r="F17" s="94"/>
      <c r="G17" s="45">
        <v>450</v>
      </c>
      <c r="H17" s="45">
        <f>G17*0.8</f>
        <v>360</v>
      </c>
      <c r="I17" s="45">
        <f>G17*0.15</f>
        <v>67.5</v>
      </c>
      <c r="J17" s="45">
        <f>G17*0.05</f>
        <v>22.5</v>
      </c>
      <c r="K17" s="168"/>
    </row>
    <row r="18" spans="1:11" s="5" customFormat="1" ht="24" customHeight="1" x14ac:dyDescent="0.25">
      <c r="A18" s="197">
        <v>3</v>
      </c>
      <c r="B18" s="203" t="s">
        <v>36</v>
      </c>
      <c r="C18" s="155"/>
      <c r="D18" s="182">
        <f t="shared" si="1"/>
        <v>1270</v>
      </c>
      <c r="E18" s="30">
        <v>1270</v>
      </c>
      <c r="F18" s="93"/>
      <c r="G18" s="30">
        <f>SUM(G19:G21)</f>
        <v>1270</v>
      </c>
      <c r="H18" s="30">
        <f t="shared" ref="H18:J18" si="7">SUM(H19:H21)</f>
        <v>889</v>
      </c>
      <c r="I18" s="30">
        <f t="shared" si="7"/>
        <v>190.5</v>
      </c>
      <c r="J18" s="30">
        <f t="shared" si="7"/>
        <v>190.5</v>
      </c>
      <c r="K18" s="157"/>
    </row>
    <row r="19" spans="1:11" ht="89.25" customHeight="1" x14ac:dyDescent="0.25">
      <c r="A19" s="198" t="s">
        <v>26</v>
      </c>
      <c r="B19" s="204" t="s">
        <v>315</v>
      </c>
      <c r="C19" s="53" t="s">
        <v>316</v>
      </c>
      <c r="D19" s="183">
        <f t="shared" si="1"/>
        <v>420</v>
      </c>
      <c r="E19" s="45">
        <v>420</v>
      </c>
      <c r="F19" s="94"/>
      <c r="G19" s="45">
        <v>420</v>
      </c>
      <c r="H19" s="45">
        <f>G19*0.7</f>
        <v>294</v>
      </c>
      <c r="I19" s="45">
        <f t="shared" ref="I19:I21" si="8">G19*0.15</f>
        <v>63</v>
      </c>
      <c r="J19" s="45">
        <f t="shared" ref="J19:J21" si="9">G19*0.15</f>
        <v>63</v>
      </c>
      <c r="K19" s="168"/>
    </row>
    <row r="20" spans="1:11" ht="76.5" customHeight="1" x14ac:dyDescent="0.25">
      <c r="A20" s="198" t="s">
        <v>26</v>
      </c>
      <c r="B20" s="204" t="s">
        <v>317</v>
      </c>
      <c r="C20" s="53" t="s">
        <v>39</v>
      </c>
      <c r="D20" s="183">
        <f t="shared" si="1"/>
        <v>450</v>
      </c>
      <c r="E20" s="45">
        <v>450</v>
      </c>
      <c r="F20" s="94"/>
      <c r="G20" s="45">
        <v>450</v>
      </c>
      <c r="H20" s="45">
        <f>G20*0.7</f>
        <v>315</v>
      </c>
      <c r="I20" s="45">
        <f t="shared" si="8"/>
        <v>67.5</v>
      </c>
      <c r="J20" s="45">
        <f t="shared" si="9"/>
        <v>67.5</v>
      </c>
      <c r="K20" s="168"/>
    </row>
    <row r="21" spans="1:11" ht="75.75" customHeight="1" x14ac:dyDescent="0.25">
      <c r="A21" s="198" t="s">
        <v>26</v>
      </c>
      <c r="B21" s="204" t="s">
        <v>318</v>
      </c>
      <c r="C21" s="53" t="s">
        <v>39</v>
      </c>
      <c r="D21" s="183">
        <f t="shared" si="1"/>
        <v>400</v>
      </c>
      <c r="E21" s="45">
        <v>400</v>
      </c>
      <c r="F21" s="94"/>
      <c r="G21" s="45">
        <v>400</v>
      </c>
      <c r="H21" s="45">
        <f>G21*0.7</f>
        <v>280</v>
      </c>
      <c r="I21" s="45">
        <f t="shared" si="8"/>
        <v>60</v>
      </c>
      <c r="J21" s="45">
        <f t="shared" si="9"/>
        <v>60</v>
      </c>
      <c r="K21" s="168"/>
    </row>
    <row r="22" spans="1:11" s="5" customFormat="1" ht="23.25" customHeight="1" x14ac:dyDescent="0.25">
      <c r="A22" s="197">
        <v>4</v>
      </c>
      <c r="B22" s="203" t="s">
        <v>319</v>
      </c>
      <c r="C22" s="155"/>
      <c r="D22" s="182">
        <f t="shared" si="1"/>
        <v>350</v>
      </c>
      <c r="E22" s="30">
        <v>350</v>
      </c>
      <c r="F22" s="93"/>
      <c r="G22" s="30">
        <f>G23</f>
        <v>350</v>
      </c>
      <c r="H22" s="30">
        <f t="shared" ref="H22:J24" si="10">H23</f>
        <v>244.99999999999997</v>
      </c>
      <c r="I22" s="30">
        <f t="shared" si="10"/>
        <v>70</v>
      </c>
      <c r="J22" s="30">
        <f t="shared" si="10"/>
        <v>35</v>
      </c>
      <c r="K22" s="157"/>
    </row>
    <row r="23" spans="1:11" ht="31.5" customHeight="1" x14ac:dyDescent="0.25">
      <c r="A23" s="198" t="s">
        <v>26</v>
      </c>
      <c r="B23" s="204" t="s">
        <v>320</v>
      </c>
      <c r="C23" s="53" t="s">
        <v>321</v>
      </c>
      <c r="D23" s="183">
        <f t="shared" si="1"/>
        <v>350</v>
      </c>
      <c r="E23" s="45">
        <v>350</v>
      </c>
      <c r="F23" s="94"/>
      <c r="G23" s="45">
        <v>350</v>
      </c>
      <c r="H23" s="45">
        <f>G23*0.7</f>
        <v>244.99999999999997</v>
      </c>
      <c r="I23" s="45">
        <f>G23*0.2</f>
        <v>70</v>
      </c>
      <c r="J23" s="45">
        <f>G23*0.1</f>
        <v>35</v>
      </c>
      <c r="K23" s="168"/>
    </row>
    <row r="24" spans="1:11" s="5" customFormat="1" ht="34.5" customHeight="1" x14ac:dyDescent="0.25">
      <c r="A24" s="197">
        <v>5</v>
      </c>
      <c r="B24" s="203" t="s">
        <v>28</v>
      </c>
      <c r="C24" s="155"/>
      <c r="D24" s="182">
        <f t="shared" si="1"/>
        <v>625</v>
      </c>
      <c r="E24" s="30">
        <v>625</v>
      </c>
      <c r="F24" s="93"/>
      <c r="G24" s="30">
        <f>G25</f>
        <v>625</v>
      </c>
      <c r="H24" s="30">
        <f t="shared" si="10"/>
        <v>562.5</v>
      </c>
      <c r="I24" s="30">
        <f t="shared" si="10"/>
        <v>56.25</v>
      </c>
      <c r="J24" s="30">
        <f t="shared" si="10"/>
        <v>6.25</v>
      </c>
      <c r="K24" s="157"/>
    </row>
    <row r="25" spans="1:11" ht="54.75" customHeight="1" x14ac:dyDescent="0.25">
      <c r="A25" s="198" t="s">
        <v>26</v>
      </c>
      <c r="B25" s="204" t="s">
        <v>322</v>
      </c>
      <c r="C25" s="53" t="s">
        <v>323</v>
      </c>
      <c r="D25" s="183">
        <f t="shared" si="1"/>
        <v>625</v>
      </c>
      <c r="E25" s="45">
        <v>625</v>
      </c>
      <c r="F25" s="94"/>
      <c r="G25" s="45">
        <v>625</v>
      </c>
      <c r="H25" s="45">
        <f>G25*90%</f>
        <v>562.5</v>
      </c>
      <c r="I25" s="45">
        <f>G25*9%</f>
        <v>56.25</v>
      </c>
      <c r="J25" s="45">
        <f>G25*1%</f>
        <v>6.25</v>
      </c>
      <c r="K25" s="168"/>
    </row>
    <row r="26" spans="1:11" s="5" customFormat="1" ht="24" customHeight="1" x14ac:dyDescent="0.25">
      <c r="A26" s="197">
        <v>6</v>
      </c>
      <c r="B26" s="203" t="s">
        <v>324</v>
      </c>
      <c r="C26" s="155"/>
      <c r="D26" s="182">
        <f t="shared" si="1"/>
        <v>240</v>
      </c>
      <c r="E26" s="30">
        <v>240</v>
      </c>
      <c r="F26" s="93"/>
      <c r="G26" s="30">
        <f>G27</f>
        <v>240</v>
      </c>
      <c r="H26" s="30">
        <f t="shared" ref="H26:J26" si="11">H27</f>
        <v>192</v>
      </c>
      <c r="I26" s="30">
        <f t="shared" si="11"/>
        <v>24</v>
      </c>
      <c r="J26" s="30">
        <f t="shared" si="11"/>
        <v>24</v>
      </c>
      <c r="K26" s="157"/>
    </row>
    <row r="27" spans="1:11" ht="65.25" customHeight="1" x14ac:dyDescent="0.25">
      <c r="A27" s="198" t="s">
        <v>26</v>
      </c>
      <c r="B27" s="204" t="s">
        <v>325</v>
      </c>
      <c r="C27" s="53" t="s">
        <v>326</v>
      </c>
      <c r="D27" s="183">
        <f t="shared" si="1"/>
        <v>240</v>
      </c>
      <c r="E27" s="45">
        <v>240</v>
      </c>
      <c r="F27" s="94"/>
      <c r="G27" s="45">
        <v>240</v>
      </c>
      <c r="H27" s="45">
        <f>G27*0.8</f>
        <v>192</v>
      </c>
      <c r="I27" s="45">
        <f>G27*0.1</f>
        <v>24</v>
      </c>
      <c r="J27" s="45">
        <f>G27*0.1</f>
        <v>24</v>
      </c>
      <c r="K27" s="168"/>
    </row>
    <row r="28" spans="1:11" s="5" customFormat="1" ht="27" customHeight="1" x14ac:dyDescent="0.25">
      <c r="A28" s="197">
        <v>7</v>
      </c>
      <c r="B28" s="203" t="s">
        <v>327</v>
      </c>
      <c r="C28" s="155"/>
      <c r="D28" s="182">
        <f t="shared" si="1"/>
        <v>500</v>
      </c>
      <c r="E28" s="30">
        <v>500</v>
      </c>
      <c r="F28" s="93"/>
      <c r="G28" s="30">
        <f>G29</f>
        <v>500</v>
      </c>
      <c r="H28" s="30">
        <f t="shared" ref="H28:J28" si="12">H29</f>
        <v>400</v>
      </c>
      <c r="I28" s="30">
        <f t="shared" si="12"/>
        <v>75</v>
      </c>
      <c r="J28" s="30">
        <f t="shared" si="12"/>
        <v>25</v>
      </c>
      <c r="K28" s="157"/>
    </row>
    <row r="29" spans="1:11" ht="77.25" customHeight="1" x14ac:dyDescent="0.25">
      <c r="A29" s="198" t="s">
        <v>26</v>
      </c>
      <c r="B29" s="204" t="s">
        <v>328</v>
      </c>
      <c r="C29" s="53" t="s">
        <v>329</v>
      </c>
      <c r="D29" s="183">
        <f t="shared" si="1"/>
        <v>500</v>
      </c>
      <c r="E29" s="45">
        <v>500</v>
      </c>
      <c r="F29" s="94"/>
      <c r="G29" s="45">
        <v>500</v>
      </c>
      <c r="H29" s="45">
        <f>G29*80%</f>
        <v>400</v>
      </c>
      <c r="I29" s="45">
        <f>G29*15%</f>
        <v>75</v>
      </c>
      <c r="J29" s="45">
        <f>G29*5%</f>
        <v>25</v>
      </c>
      <c r="K29" s="168"/>
    </row>
    <row r="30" spans="1:11" s="5" customFormat="1" ht="34.5" customHeight="1" x14ac:dyDescent="0.25">
      <c r="A30" s="197">
        <v>8</v>
      </c>
      <c r="B30" s="203" t="s">
        <v>330</v>
      </c>
      <c r="C30" s="155"/>
      <c r="D30" s="182">
        <f t="shared" si="1"/>
        <v>400</v>
      </c>
      <c r="E30" s="30">
        <v>400</v>
      </c>
      <c r="F30" s="93"/>
      <c r="G30" s="30">
        <f>G31</f>
        <v>400</v>
      </c>
      <c r="H30" s="30">
        <f t="shared" ref="H30:J30" si="13">H31</f>
        <v>320</v>
      </c>
      <c r="I30" s="30">
        <f t="shared" si="13"/>
        <v>60</v>
      </c>
      <c r="J30" s="30">
        <f t="shared" si="13"/>
        <v>20</v>
      </c>
      <c r="K30" s="157"/>
    </row>
    <row r="31" spans="1:11" ht="58.5" customHeight="1" x14ac:dyDescent="0.25">
      <c r="A31" s="198" t="s">
        <v>26</v>
      </c>
      <c r="B31" s="204" t="s">
        <v>331</v>
      </c>
      <c r="C31" s="53" t="s">
        <v>329</v>
      </c>
      <c r="D31" s="183">
        <f t="shared" si="1"/>
        <v>400</v>
      </c>
      <c r="E31" s="45">
        <v>400</v>
      </c>
      <c r="F31" s="94"/>
      <c r="G31" s="45">
        <v>400</v>
      </c>
      <c r="H31" s="45">
        <f>G31*80%</f>
        <v>320</v>
      </c>
      <c r="I31" s="45">
        <f>G31*15%</f>
        <v>60</v>
      </c>
      <c r="J31" s="45">
        <f>G31*5%</f>
        <v>20</v>
      </c>
      <c r="K31" s="168"/>
    </row>
    <row r="32" spans="1:11" s="173" customFormat="1" ht="24.75" customHeight="1" x14ac:dyDescent="0.25">
      <c r="A32" s="201" t="s">
        <v>40</v>
      </c>
      <c r="B32" s="213" t="s">
        <v>176</v>
      </c>
      <c r="C32" s="135"/>
      <c r="D32" s="185">
        <f t="shared" si="1"/>
        <v>3834.5590000000002</v>
      </c>
      <c r="E32" s="136">
        <v>3834.5590000000002</v>
      </c>
      <c r="F32" s="143"/>
      <c r="G32" s="136">
        <f>G33+G35+G39+G42+G45</f>
        <v>3834.5590000000002</v>
      </c>
      <c r="H32" s="136">
        <f t="shared" ref="H32:J32" si="14">H33+H35+H39+H42+H45</f>
        <v>3049.1913</v>
      </c>
      <c r="I32" s="136">
        <f t="shared" si="14"/>
        <v>564.41179999999997</v>
      </c>
      <c r="J32" s="136">
        <f t="shared" si="14"/>
        <v>220.95589999999999</v>
      </c>
      <c r="K32" s="172"/>
    </row>
    <row r="33" spans="1:11" s="5" customFormat="1" ht="24.75" customHeight="1" x14ac:dyDescent="0.25">
      <c r="A33" s="197">
        <v>1</v>
      </c>
      <c r="B33" s="203" t="s">
        <v>304</v>
      </c>
      <c r="C33" s="155"/>
      <c r="D33" s="182">
        <f t="shared" si="1"/>
        <v>184.559</v>
      </c>
      <c r="E33" s="30">
        <v>184.559</v>
      </c>
      <c r="F33" s="93"/>
      <c r="G33" s="30">
        <f>G34</f>
        <v>184.559</v>
      </c>
      <c r="H33" s="30">
        <f t="shared" ref="H33:J33" si="15">H34</f>
        <v>129.19129999999998</v>
      </c>
      <c r="I33" s="30">
        <f t="shared" si="15"/>
        <v>36.911799999999999</v>
      </c>
      <c r="J33" s="30">
        <f t="shared" si="15"/>
        <v>18.4559</v>
      </c>
      <c r="K33" s="157"/>
    </row>
    <row r="34" spans="1:11" ht="43.5" customHeight="1" x14ac:dyDescent="0.25">
      <c r="A34" s="198" t="s">
        <v>26</v>
      </c>
      <c r="B34" s="204" t="s">
        <v>332</v>
      </c>
      <c r="C34" s="53" t="s">
        <v>333</v>
      </c>
      <c r="D34" s="183">
        <f t="shared" si="1"/>
        <v>184.559</v>
      </c>
      <c r="E34" s="45">
        <v>184.559</v>
      </c>
      <c r="F34" s="94"/>
      <c r="G34" s="45">
        <v>184.559</v>
      </c>
      <c r="H34" s="45">
        <f t="shared" ref="H34" si="16">G34*70%</f>
        <v>129.19129999999998</v>
      </c>
      <c r="I34" s="45">
        <f t="shared" ref="I34" si="17">G34*20%</f>
        <v>36.911799999999999</v>
      </c>
      <c r="J34" s="45">
        <f t="shared" ref="J34" si="18">G34*10%</f>
        <v>18.4559</v>
      </c>
      <c r="K34" s="168"/>
    </row>
    <row r="35" spans="1:11" s="5" customFormat="1" ht="21" customHeight="1" x14ac:dyDescent="0.25">
      <c r="A35" s="197">
        <v>2</v>
      </c>
      <c r="B35" s="203" t="s">
        <v>65</v>
      </c>
      <c r="C35" s="155"/>
      <c r="D35" s="182">
        <f t="shared" si="1"/>
        <v>760</v>
      </c>
      <c r="E35" s="30">
        <v>760</v>
      </c>
      <c r="F35" s="93"/>
      <c r="G35" s="30">
        <f>SUM(G36:G38)</f>
        <v>760</v>
      </c>
      <c r="H35" s="30">
        <f t="shared" ref="H35:J35" si="19">SUM(H36:H38)</f>
        <v>608</v>
      </c>
      <c r="I35" s="30">
        <f t="shared" si="19"/>
        <v>114</v>
      </c>
      <c r="J35" s="30">
        <f t="shared" si="19"/>
        <v>38</v>
      </c>
      <c r="K35" s="157"/>
    </row>
    <row r="36" spans="1:11" ht="61.5" customHeight="1" x14ac:dyDescent="0.25">
      <c r="A36" s="198" t="s">
        <v>26</v>
      </c>
      <c r="B36" s="204" t="s">
        <v>334</v>
      </c>
      <c r="C36" s="53" t="s">
        <v>39</v>
      </c>
      <c r="D36" s="183">
        <f t="shared" si="1"/>
        <v>240</v>
      </c>
      <c r="E36" s="45">
        <v>240</v>
      </c>
      <c r="F36" s="94"/>
      <c r="G36" s="45">
        <v>240</v>
      </c>
      <c r="H36" s="45">
        <f>G36*80%</f>
        <v>192</v>
      </c>
      <c r="I36" s="45">
        <f>G36*15%</f>
        <v>36</v>
      </c>
      <c r="J36" s="45">
        <f>G36*5%</f>
        <v>12</v>
      </c>
      <c r="K36" s="168"/>
    </row>
    <row r="37" spans="1:11" ht="42" customHeight="1" x14ac:dyDescent="0.25">
      <c r="A37" s="198" t="s">
        <v>26</v>
      </c>
      <c r="B37" s="204" t="s">
        <v>335</v>
      </c>
      <c r="C37" s="53" t="s">
        <v>39</v>
      </c>
      <c r="D37" s="183">
        <f t="shared" si="1"/>
        <v>150</v>
      </c>
      <c r="E37" s="45">
        <v>150</v>
      </c>
      <c r="F37" s="94"/>
      <c r="G37" s="45">
        <v>150</v>
      </c>
      <c r="H37" s="45">
        <f>G37*80%</f>
        <v>120</v>
      </c>
      <c r="I37" s="45">
        <f>G37*15%</f>
        <v>22.5</v>
      </c>
      <c r="J37" s="45">
        <f>G37*5%</f>
        <v>7.5</v>
      </c>
      <c r="K37" s="168"/>
    </row>
    <row r="38" spans="1:11" ht="57" customHeight="1" x14ac:dyDescent="0.25">
      <c r="A38" s="198" t="s">
        <v>26</v>
      </c>
      <c r="B38" s="204" t="s">
        <v>336</v>
      </c>
      <c r="C38" s="53" t="s">
        <v>39</v>
      </c>
      <c r="D38" s="183">
        <f t="shared" si="1"/>
        <v>370</v>
      </c>
      <c r="E38" s="45">
        <v>370</v>
      </c>
      <c r="F38" s="94"/>
      <c r="G38" s="45">
        <v>370</v>
      </c>
      <c r="H38" s="45">
        <f>G38*80%</f>
        <v>296</v>
      </c>
      <c r="I38" s="45">
        <f>G38*15%</f>
        <v>55.5</v>
      </c>
      <c r="J38" s="45">
        <f>G38*5%</f>
        <v>18.5</v>
      </c>
      <c r="K38" s="168"/>
    </row>
    <row r="39" spans="1:11" s="5" customFormat="1" ht="24.75" customHeight="1" x14ac:dyDescent="0.25">
      <c r="A39" s="197">
        <v>3</v>
      </c>
      <c r="B39" s="203" t="s">
        <v>36</v>
      </c>
      <c r="C39" s="155"/>
      <c r="D39" s="182">
        <f t="shared" si="1"/>
        <v>1150</v>
      </c>
      <c r="E39" s="30">
        <v>1150</v>
      </c>
      <c r="F39" s="93"/>
      <c r="G39" s="30">
        <f>G40+G41</f>
        <v>1150</v>
      </c>
      <c r="H39" s="30">
        <f t="shared" ref="H39:J39" si="20">H40+H41</f>
        <v>920</v>
      </c>
      <c r="I39" s="30">
        <f t="shared" si="20"/>
        <v>172.5</v>
      </c>
      <c r="J39" s="30">
        <f t="shared" si="20"/>
        <v>57.5</v>
      </c>
      <c r="K39" s="157"/>
    </row>
    <row r="40" spans="1:11" ht="40.5" customHeight="1" x14ac:dyDescent="0.25">
      <c r="A40" s="198" t="s">
        <v>26</v>
      </c>
      <c r="B40" s="204" t="s">
        <v>337</v>
      </c>
      <c r="C40" s="53" t="s">
        <v>338</v>
      </c>
      <c r="D40" s="183">
        <f t="shared" si="1"/>
        <v>600</v>
      </c>
      <c r="E40" s="45">
        <v>600</v>
      </c>
      <c r="F40" s="94"/>
      <c r="G40" s="45">
        <v>600</v>
      </c>
      <c r="H40" s="45">
        <f>G40*80%</f>
        <v>480</v>
      </c>
      <c r="I40" s="45">
        <f t="shared" ref="I40:I41" si="21">G40*15%</f>
        <v>90</v>
      </c>
      <c r="J40" s="45">
        <f t="shared" ref="J40:J41" si="22">G40*5%</f>
        <v>30</v>
      </c>
      <c r="K40" s="168"/>
    </row>
    <row r="41" spans="1:11" ht="47.25" customHeight="1" x14ac:dyDescent="0.25">
      <c r="A41" s="198" t="s">
        <v>26</v>
      </c>
      <c r="B41" s="204" t="s">
        <v>339</v>
      </c>
      <c r="C41" s="53" t="s">
        <v>39</v>
      </c>
      <c r="D41" s="183">
        <f t="shared" si="1"/>
        <v>550</v>
      </c>
      <c r="E41" s="45">
        <v>550</v>
      </c>
      <c r="F41" s="94"/>
      <c r="G41" s="45">
        <v>550</v>
      </c>
      <c r="H41" s="45">
        <f>G41*80%</f>
        <v>440</v>
      </c>
      <c r="I41" s="45">
        <f t="shared" si="21"/>
        <v>82.5</v>
      </c>
      <c r="J41" s="45">
        <f t="shared" si="22"/>
        <v>27.5</v>
      </c>
      <c r="K41" s="168"/>
    </row>
    <row r="42" spans="1:11" s="5" customFormat="1" ht="27.75" customHeight="1" x14ac:dyDescent="0.25">
      <c r="A42" s="197">
        <v>4</v>
      </c>
      <c r="B42" s="203" t="s">
        <v>63</v>
      </c>
      <c r="C42" s="155"/>
      <c r="D42" s="182">
        <f t="shared" si="1"/>
        <v>1340</v>
      </c>
      <c r="E42" s="30">
        <v>1340</v>
      </c>
      <c r="F42" s="93"/>
      <c r="G42" s="30">
        <f>G43+G44</f>
        <v>1340</v>
      </c>
      <c r="H42" s="30">
        <f t="shared" ref="H42:J42" si="23">H43+H44</f>
        <v>1072</v>
      </c>
      <c r="I42" s="30">
        <f t="shared" si="23"/>
        <v>201</v>
      </c>
      <c r="J42" s="30">
        <f t="shared" si="23"/>
        <v>67</v>
      </c>
      <c r="K42" s="157"/>
    </row>
    <row r="43" spans="1:11" ht="46.5" customHeight="1" x14ac:dyDescent="0.25">
      <c r="A43" s="198" t="s">
        <v>26</v>
      </c>
      <c r="B43" s="204" t="s">
        <v>340</v>
      </c>
      <c r="C43" s="53" t="s">
        <v>39</v>
      </c>
      <c r="D43" s="183">
        <f t="shared" si="1"/>
        <v>380</v>
      </c>
      <c r="E43" s="45">
        <v>380</v>
      </c>
      <c r="F43" s="94"/>
      <c r="G43" s="45">
        <v>380</v>
      </c>
      <c r="H43" s="45">
        <f t="shared" ref="H43:H44" si="24">G43*80%</f>
        <v>304</v>
      </c>
      <c r="I43" s="45">
        <f t="shared" ref="I43:I44" si="25">G43*15%</f>
        <v>57</v>
      </c>
      <c r="J43" s="45">
        <f t="shared" ref="J43:J44" si="26">G43*5%</f>
        <v>19</v>
      </c>
      <c r="K43" s="168"/>
    </row>
    <row r="44" spans="1:11" ht="54" customHeight="1" x14ac:dyDescent="0.25">
      <c r="A44" s="198" t="s">
        <v>26</v>
      </c>
      <c r="B44" s="204" t="s">
        <v>341</v>
      </c>
      <c r="C44" s="53" t="s">
        <v>39</v>
      </c>
      <c r="D44" s="183">
        <f t="shared" si="1"/>
        <v>960</v>
      </c>
      <c r="E44" s="45">
        <v>960</v>
      </c>
      <c r="F44" s="94"/>
      <c r="G44" s="45">
        <v>960</v>
      </c>
      <c r="H44" s="45">
        <f t="shared" si="24"/>
        <v>768</v>
      </c>
      <c r="I44" s="45">
        <f t="shared" si="25"/>
        <v>144</v>
      </c>
      <c r="J44" s="45">
        <f t="shared" si="26"/>
        <v>48</v>
      </c>
      <c r="K44" s="168"/>
    </row>
    <row r="45" spans="1:11" s="5" customFormat="1" ht="25.5" customHeight="1" x14ac:dyDescent="0.25">
      <c r="A45" s="197">
        <v>5</v>
      </c>
      <c r="B45" s="203" t="s">
        <v>324</v>
      </c>
      <c r="C45" s="155"/>
      <c r="D45" s="182">
        <f t="shared" si="1"/>
        <v>400</v>
      </c>
      <c r="E45" s="30">
        <v>400</v>
      </c>
      <c r="F45" s="93"/>
      <c r="G45" s="30">
        <f>G46</f>
        <v>400</v>
      </c>
      <c r="H45" s="30">
        <f t="shared" ref="H45:J45" si="27">H46</f>
        <v>320</v>
      </c>
      <c r="I45" s="30">
        <f t="shared" si="27"/>
        <v>40</v>
      </c>
      <c r="J45" s="30">
        <f t="shared" si="27"/>
        <v>40</v>
      </c>
      <c r="K45" s="157"/>
    </row>
    <row r="46" spans="1:11" ht="69.75" customHeight="1" x14ac:dyDescent="0.25">
      <c r="A46" s="198" t="s">
        <v>26</v>
      </c>
      <c r="B46" s="204" t="s">
        <v>342</v>
      </c>
      <c r="C46" s="53" t="s">
        <v>343</v>
      </c>
      <c r="D46" s="183">
        <f t="shared" si="1"/>
        <v>400</v>
      </c>
      <c r="E46" s="45">
        <v>400</v>
      </c>
      <c r="F46" s="94"/>
      <c r="G46" s="45">
        <v>400</v>
      </c>
      <c r="H46" s="45">
        <f>G46*80%</f>
        <v>320</v>
      </c>
      <c r="I46" s="45">
        <f>G46*10%</f>
        <v>40</v>
      </c>
      <c r="J46" s="45">
        <f>G46*10%</f>
        <v>40</v>
      </c>
      <c r="K46" s="168"/>
    </row>
    <row r="47" spans="1:11" s="173" customFormat="1" ht="28.5" customHeight="1" x14ac:dyDescent="0.25">
      <c r="A47" s="201" t="s">
        <v>51</v>
      </c>
      <c r="B47" s="213" t="s">
        <v>232</v>
      </c>
      <c r="C47" s="135"/>
      <c r="D47" s="185">
        <f t="shared" si="1"/>
        <v>3550</v>
      </c>
      <c r="E47" s="136">
        <v>3550</v>
      </c>
      <c r="F47" s="143"/>
      <c r="G47" s="136">
        <f>G48+G51+G54+G56</f>
        <v>3550</v>
      </c>
      <c r="H47" s="136">
        <f t="shared" ref="H47:J47" si="28">H48+H51+H54+H56</f>
        <v>2755</v>
      </c>
      <c r="I47" s="136">
        <f t="shared" si="28"/>
        <v>463.5</v>
      </c>
      <c r="J47" s="136">
        <f t="shared" si="28"/>
        <v>331.5</v>
      </c>
      <c r="K47" s="172"/>
    </row>
    <row r="48" spans="1:11" s="5" customFormat="1" ht="26.25" customHeight="1" x14ac:dyDescent="0.25">
      <c r="A48" s="197">
        <v>1</v>
      </c>
      <c r="B48" s="203" t="s">
        <v>36</v>
      </c>
      <c r="C48" s="155"/>
      <c r="D48" s="182">
        <f t="shared" si="1"/>
        <v>1400</v>
      </c>
      <c r="E48" s="30">
        <v>1400</v>
      </c>
      <c r="F48" s="93"/>
      <c r="G48" s="30">
        <f>SUM(G49:G50)</f>
        <v>1400</v>
      </c>
      <c r="H48" s="30">
        <f t="shared" ref="H48:J48" si="29">SUM(H49:H50)</f>
        <v>980</v>
      </c>
      <c r="I48" s="30">
        <f t="shared" si="29"/>
        <v>210</v>
      </c>
      <c r="J48" s="30">
        <f t="shared" si="29"/>
        <v>210</v>
      </c>
      <c r="K48" s="157"/>
    </row>
    <row r="49" spans="1:11" ht="92.25" customHeight="1" x14ac:dyDescent="0.25">
      <c r="A49" s="198" t="s">
        <v>26</v>
      </c>
      <c r="B49" s="204" t="s">
        <v>344</v>
      </c>
      <c r="C49" s="53" t="s">
        <v>39</v>
      </c>
      <c r="D49" s="183">
        <f t="shared" si="1"/>
        <v>900</v>
      </c>
      <c r="E49" s="45">
        <v>900</v>
      </c>
      <c r="F49" s="94"/>
      <c r="G49" s="45">
        <v>900</v>
      </c>
      <c r="H49" s="45">
        <f>G49*70%</f>
        <v>630</v>
      </c>
      <c r="I49" s="45">
        <f>G49*15%</f>
        <v>135</v>
      </c>
      <c r="J49" s="45">
        <f>G49*15%</f>
        <v>135</v>
      </c>
      <c r="K49" s="168"/>
    </row>
    <row r="50" spans="1:11" ht="92.25" customHeight="1" x14ac:dyDescent="0.25">
      <c r="A50" s="198" t="s">
        <v>26</v>
      </c>
      <c r="B50" s="204" t="s">
        <v>345</v>
      </c>
      <c r="C50" s="53" t="s">
        <v>39</v>
      </c>
      <c r="D50" s="183">
        <f t="shared" si="1"/>
        <v>500</v>
      </c>
      <c r="E50" s="45">
        <v>500</v>
      </c>
      <c r="F50" s="94"/>
      <c r="G50" s="45">
        <v>500</v>
      </c>
      <c r="H50" s="45">
        <f>G50*70%</f>
        <v>350</v>
      </c>
      <c r="I50" s="45">
        <f>G50*15%</f>
        <v>75</v>
      </c>
      <c r="J50" s="45">
        <f>G50*15%</f>
        <v>75</v>
      </c>
      <c r="K50" s="168"/>
    </row>
    <row r="51" spans="1:11" s="5" customFormat="1" ht="33" customHeight="1" x14ac:dyDescent="0.25">
      <c r="A51" s="197">
        <v>2</v>
      </c>
      <c r="B51" s="203" t="s">
        <v>46</v>
      </c>
      <c r="C51" s="155"/>
      <c r="D51" s="182">
        <f t="shared" si="1"/>
        <v>550</v>
      </c>
      <c r="E51" s="30">
        <v>550</v>
      </c>
      <c r="F51" s="93"/>
      <c r="G51" s="30">
        <f>G52+G53</f>
        <v>550</v>
      </c>
      <c r="H51" s="30">
        <f t="shared" ref="H51:J51" si="30">H52+H53</f>
        <v>495</v>
      </c>
      <c r="I51" s="30">
        <f t="shared" si="30"/>
        <v>49.5</v>
      </c>
      <c r="J51" s="30">
        <f t="shared" si="30"/>
        <v>5.5</v>
      </c>
      <c r="K51" s="157"/>
    </row>
    <row r="52" spans="1:11" ht="66" customHeight="1" x14ac:dyDescent="0.25">
      <c r="A52" s="198" t="s">
        <v>26</v>
      </c>
      <c r="B52" s="204" t="s">
        <v>346</v>
      </c>
      <c r="C52" s="53" t="s">
        <v>39</v>
      </c>
      <c r="D52" s="183">
        <f t="shared" si="1"/>
        <v>400</v>
      </c>
      <c r="E52" s="45">
        <v>400</v>
      </c>
      <c r="F52" s="94"/>
      <c r="G52" s="45">
        <v>400</v>
      </c>
      <c r="H52" s="45">
        <f>G52*90%</f>
        <v>360</v>
      </c>
      <c r="I52" s="45">
        <f>G52*9%</f>
        <v>36</v>
      </c>
      <c r="J52" s="45">
        <f>G52*1%</f>
        <v>4</v>
      </c>
      <c r="K52" s="168"/>
    </row>
    <row r="53" spans="1:11" ht="59.25" customHeight="1" x14ac:dyDescent="0.25">
      <c r="A53" s="198" t="s">
        <v>26</v>
      </c>
      <c r="B53" s="204" t="s">
        <v>347</v>
      </c>
      <c r="C53" s="53" t="s">
        <v>39</v>
      </c>
      <c r="D53" s="183">
        <f t="shared" si="1"/>
        <v>150</v>
      </c>
      <c r="E53" s="45">
        <v>150</v>
      </c>
      <c r="F53" s="94"/>
      <c r="G53" s="45">
        <v>150</v>
      </c>
      <c r="H53" s="45">
        <f>G53*90%</f>
        <v>135</v>
      </c>
      <c r="I53" s="45">
        <f>G53*9%</f>
        <v>13.5</v>
      </c>
      <c r="J53" s="45">
        <f>G53*1%</f>
        <v>1.5</v>
      </c>
      <c r="K53" s="168"/>
    </row>
    <row r="54" spans="1:11" s="5" customFormat="1" ht="30.75" customHeight="1" x14ac:dyDescent="0.25">
      <c r="A54" s="197">
        <v>3</v>
      </c>
      <c r="B54" s="203" t="s">
        <v>63</v>
      </c>
      <c r="C54" s="155"/>
      <c r="D54" s="182">
        <f t="shared" si="1"/>
        <v>880</v>
      </c>
      <c r="E54" s="30">
        <v>880</v>
      </c>
      <c r="F54" s="93"/>
      <c r="G54" s="30">
        <f>G55</f>
        <v>880</v>
      </c>
      <c r="H54" s="30">
        <f t="shared" ref="H54:J54" si="31">H55</f>
        <v>704</v>
      </c>
      <c r="I54" s="30">
        <f t="shared" si="31"/>
        <v>132</v>
      </c>
      <c r="J54" s="30">
        <f t="shared" si="31"/>
        <v>44</v>
      </c>
      <c r="K54" s="157"/>
    </row>
    <row r="55" spans="1:11" ht="83.25" customHeight="1" x14ac:dyDescent="0.25">
      <c r="A55" s="198" t="s">
        <v>26</v>
      </c>
      <c r="B55" s="204" t="s">
        <v>348</v>
      </c>
      <c r="C55" s="53" t="s">
        <v>39</v>
      </c>
      <c r="D55" s="183">
        <f t="shared" si="1"/>
        <v>880</v>
      </c>
      <c r="E55" s="45">
        <v>880</v>
      </c>
      <c r="F55" s="94"/>
      <c r="G55" s="45">
        <v>880</v>
      </c>
      <c r="H55" s="45">
        <f>G55*80%</f>
        <v>704</v>
      </c>
      <c r="I55" s="45">
        <f>G55*15%</f>
        <v>132</v>
      </c>
      <c r="J55" s="45">
        <f>G55*5%</f>
        <v>44</v>
      </c>
      <c r="K55" s="168"/>
    </row>
    <row r="56" spans="1:11" s="5" customFormat="1" ht="25.5" customHeight="1" x14ac:dyDescent="0.25">
      <c r="A56" s="197">
        <v>4</v>
      </c>
      <c r="B56" s="203" t="s">
        <v>324</v>
      </c>
      <c r="C56" s="155"/>
      <c r="D56" s="182">
        <f t="shared" si="1"/>
        <v>720</v>
      </c>
      <c r="E56" s="30">
        <v>720</v>
      </c>
      <c r="F56" s="93"/>
      <c r="G56" s="30">
        <f>G57</f>
        <v>720</v>
      </c>
      <c r="H56" s="30">
        <f t="shared" ref="H56:J56" si="32">H57</f>
        <v>576</v>
      </c>
      <c r="I56" s="30">
        <f t="shared" si="32"/>
        <v>72</v>
      </c>
      <c r="J56" s="30">
        <f t="shared" si="32"/>
        <v>72</v>
      </c>
      <c r="K56" s="157"/>
    </row>
    <row r="57" spans="1:11" ht="75" customHeight="1" x14ac:dyDescent="0.25">
      <c r="A57" s="198" t="s">
        <v>26</v>
      </c>
      <c r="B57" s="204" t="s">
        <v>349</v>
      </c>
      <c r="C57" s="53" t="s">
        <v>350</v>
      </c>
      <c r="D57" s="183">
        <f t="shared" si="1"/>
        <v>720</v>
      </c>
      <c r="E57" s="45">
        <v>720</v>
      </c>
      <c r="F57" s="94"/>
      <c r="G57" s="45">
        <v>720</v>
      </c>
      <c r="H57" s="45">
        <f>G57*80%</f>
        <v>576</v>
      </c>
      <c r="I57" s="45">
        <f>G57*10%</f>
        <v>72</v>
      </c>
      <c r="J57" s="45">
        <f>G57*10%</f>
        <v>72</v>
      </c>
      <c r="K57" s="168"/>
    </row>
    <row r="58" spans="1:11" s="173" customFormat="1" ht="30.75" customHeight="1" x14ac:dyDescent="0.25">
      <c r="A58" s="201" t="s">
        <v>68</v>
      </c>
      <c r="B58" s="213" t="s">
        <v>161</v>
      </c>
      <c r="C58" s="135"/>
      <c r="D58" s="185">
        <f t="shared" si="1"/>
        <v>1358.29</v>
      </c>
      <c r="E58" s="136">
        <v>1358.29</v>
      </c>
      <c r="F58" s="143"/>
      <c r="G58" s="136">
        <f>G59+G61+G65+G63</f>
        <v>1358.29</v>
      </c>
      <c r="H58" s="136">
        <f t="shared" ref="H58:J58" si="33">H59+H61+H65+H63</f>
        <v>1102.8029999999999</v>
      </c>
      <c r="I58" s="136">
        <f t="shared" si="33"/>
        <v>157.15800000000002</v>
      </c>
      <c r="J58" s="136">
        <f t="shared" si="33"/>
        <v>98.329000000000008</v>
      </c>
      <c r="K58" s="172"/>
    </row>
    <row r="59" spans="1:11" s="5" customFormat="1" ht="30.75" customHeight="1" x14ac:dyDescent="0.25">
      <c r="A59" s="197">
        <v>1</v>
      </c>
      <c r="B59" s="203" t="s">
        <v>304</v>
      </c>
      <c r="C59" s="155"/>
      <c r="D59" s="182">
        <f t="shared" si="1"/>
        <v>188.29</v>
      </c>
      <c r="E59" s="30">
        <v>188.29</v>
      </c>
      <c r="F59" s="93"/>
      <c r="G59" s="30">
        <f>G60</f>
        <v>188.29</v>
      </c>
      <c r="H59" s="30">
        <f t="shared" ref="H59:J59" si="34">H60</f>
        <v>131.803</v>
      </c>
      <c r="I59" s="30">
        <f t="shared" si="34"/>
        <v>37.658000000000001</v>
      </c>
      <c r="J59" s="30">
        <f t="shared" si="34"/>
        <v>18.829000000000001</v>
      </c>
      <c r="K59" s="157"/>
    </row>
    <row r="60" spans="1:11" ht="37.5" customHeight="1" x14ac:dyDescent="0.25">
      <c r="A60" s="198" t="s">
        <v>26</v>
      </c>
      <c r="B60" s="204" t="s">
        <v>351</v>
      </c>
      <c r="C60" s="53" t="s">
        <v>352</v>
      </c>
      <c r="D60" s="183">
        <f t="shared" si="1"/>
        <v>188.29</v>
      </c>
      <c r="E60" s="45">
        <v>188.29</v>
      </c>
      <c r="F60" s="94"/>
      <c r="G60" s="45">
        <f>190*0.991</f>
        <v>188.29</v>
      </c>
      <c r="H60" s="45">
        <f>G60*70%</f>
        <v>131.803</v>
      </c>
      <c r="I60" s="45">
        <f>G60*20%</f>
        <v>37.658000000000001</v>
      </c>
      <c r="J60" s="45">
        <f>G60*10%</f>
        <v>18.829000000000001</v>
      </c>
      <c r="K60" s="168"/>
    </row>
    <row r="61" spans="1:11" s="5" customFormat="1" ht="30.75" customHeight="1" x14ac:dyDescent="0.25">
      <c r="A61" s="197">
        <v>2</v>
      </c>
      <c r="B61" s="203" t="s">
        <v>28</v>
      </c>
      <c r="C61" s="155"/>
      <c r="D61" s="182">
        <f t="shared" si="1"/>
        <v>500</v>
      </c>
      <c r="E61" s="30">
        <v>500</v>
      </c>
      <c r="F61" s="93"/>
      <c r="G61" s="30">
        <f>G62</f>
        <v>500</v>
      </c>
      <c r="H61" s="30">
        <f t="shared" ref="H61:J61" si="35">H62</f>
        <v>450</v>
      </c>
      <c r="I61" s="30">
        <f t="shared" si="35"/>
        <v>45</v>
      </c>
      <c r="J61" s="30">
        <f t="shared" si="35"/>
        <v>5</v>
      </c>
      <c r="K61" s="157"/>
    </row>
    <row r="62" spans="1:11" ht="66" customHeight="1" x14ac:dyDescent="0.25">
      <c r="A62" s="198" t="s">
        <v>26</v>
      </c>
      <c r="B62" s="204" t="s">
        <v>353</v>
      </c>
      <c r="C62" s="53" t="s">
        <v>39</v>
      </c>
      <c r="D62" s="183">
        <f t="shared" si="1"/>
        <v>500</v>
      </c>
      <c r="E62" s="45">
        <v>500</v>
      </c>
      <c r="F62" s="94"/>
      <c r="G62" s="45">
        <v>500</v>
      </c>
      <c r="H62" s="45">
        <f>G62*90%</f>
        <v>450</v>
      </c>
      <c r="I62" s="45">
        <f>G62*9%</f>
        <v>45</v>
      </c>
      <c r="J62" s="45">
        <f>G62*1%</f>
        <v>5</v>
      </c>
      <c r="K62" s="168"/>
    </row>
    <row r="63" spans="1:11" s="5" customFormat="1" ht="30.75" customHeight="1" x14ac:dyDescent="0.25">
      <c r="A63" s="197">
        <v>3</v>
      </c>
      <c r="B63" s="203" t="s">
        <v>36</v>
      </c>
      <c r="C63" s="155"/>
      <c r="D63" s="182">
        <f t="shared" si="1"/>
        <v>150</v>
      </c>
      <c r="E63" s="30">
        <v>150</v>
      </c>
      <c r="F63" s="93"/>
      <c r="G63" s="30">
        <f>G64</f>
        <v>150</v>
      </c>
      <c r="H63" s="30">
        <f t="shared" ref="H63:J63" si="36">H64</f>
        <v>105</v>
      </c>
      <c r="I63" s="30">
        <f t="shared" si="36"/>
        <v>22.5</v>
      </c>
      <c r="J63" s="30">
        <f t="shared" si="36"/>
        <v>22.5</v>
      </c>
      <c r="K63" s="157"/>
    </row>
    <row r="64" spans="1:11" ht="42" customHeight="1" x14ac:dyDescent="0.25">
      <c r="A64" s="198" t="s">
        <v>26</v>
      </c>
      <c r="B64" s="204" t="s">
        <v>354</v>
      </c>
      <c r="C64" s="53" t="s">
        <v>39</v>
      </c>
      <c r="D64" s="183">
        <f t="shared" si="1"/>
        <v>150</v>
      </c>
      <c r="E64" s="45">
        <v>150</v>
      </c>
      <c r="F64" s="94"/>
      <c r="G64" s="45">
        <v>150</v>
      </c>
      <c r="H64" s="45">
        <f>G64*70%</f>
        <v>105</v>
      </c>
      <c r="I64" s="45">
        <f>G64*15%</f>
        <v>22.5</v>
      </c>
      <c r="J64" s="45">
        <f>G64*15%</f>
        <v>22.5</v>
      </c>
      <c r="K64" s="168"/>
    </row>
    <row r="65" spans="1:11" s="5" customFormat="1" ht="30.75" customHeight="1" x14ac:dyDescent="0.25">
      <c r="A65" s="197">
        <v>4</v>
      </c>
      <c r="B65" s="203" t="s">
        <v>324</v>
      </c>
      <c r="C65" s="155"/>
      <c r="D65" s="182">
        <f t="shared" si="1"/>
        <v>520</v>
      </c>
      <c r="E65" s="30">
        <v>520</v>
      </c>
      <c r="F65" s="93"/>
      <c r="G65" s="30">
        <f>G66</f>
        <v>520</v>
      </c>
      <c r="H65" s="30">
        <f t="shared" ref="H65:J65" si="37">H66</f>
        <v>416</v>
      </c>
      <c r="I65" s="30">
        <f t="shared" si="37"/>
        <v>52</v>
      </c>
      <c r="J65" s="30">
        <f t="shared" si="37"/>
        <v>52</v>
      </c>
      <c r="K65" s="157"/>
    </row>
    <row r="66" spans="1:11" ht="45" customHeight="1" x14ac:dyDescent="0.25">
      <c r="A66" s="198" t="s">
        <v>26</v>
      </c>
      <c r="B66" s="204" t="s">
        <v>356</v>
      </c>
      <c r="C66" s="53" t="s">
        <v>343</v>
      </c>
      <c r="D66" s="183">
        <f t="shared" si="1"/>
        <v>520</v>
      </c>
      <c r="E66" s="45">
        <v>520</v>
      </c>
      <c r="F66" s="94"/>
      <c r="G66" s="45">
        <v>520</v>
      </c>
      <c r="H66" s="45">
        <f>G66*80%</f>
        <v>416</v>
      </c>
      <c r="I66" s="45">
        <f>G66*10%</f>
        <v>52</v>
      </c>
      <c r="J66" s="45">
        <f>G66*10%</f>
        <v>52</v>
      </c>
      <c r="K66" s="168"/>
    </row>
    <row r="67" spans="1:11" s="173" customFormat="1" ht="25.5" customHeight="1" x14ac:dyDescent="0.25">
      <c r="A67" s="215" t="s">
        <v>74</v>
      </c>
      <c r="B67" s="216" t="s">
        <v>144</v>
      </c>
      <c r="C67" s="14"/>
      <c r="D67" s="15">
        <f>D68+D72+D74+D76</f>
        <v>5342.6540000000005</v>
      </c>
      <c r="E67" s="15">
        <f t="shared" ref="E67:J67" si="38">E68+E72+E74+E76</f>
        <v>1552.654</v>
      </c>
      <c r="F67" s="15">
        <f t="shared" si="38"/>
        <v>3790</v>
      </c>
      <c r="G67" s="15">
        <f t="shared" si="38"/>
        <v>5342.6540000000005</v>
      </c>
      <c r="H67" s="15">
        <f t="shared" si="38"/>
        <v>3684.8577999999998</v>
      </c>
      <c r="I67" s="15">
        <f t="shared" si="38"/>
        <v>1057.5308</v>
      </c>
      <c r="J67" s="15">
        <f t="shared" si="38"/>
        <v>600.2654</v>
      </c>
      <c r="K67" s="217"/>
    </row>
    <row r="68" spans="1:11" s="5" customFormat="1" ht="24.75" customHeight="1" x14ac:dyDescent="0.25">
      <c r="A68" s="197">
        <v>1</v>
      </c>
      <c r="B68" s="203" t="s">
        <v>304</v>
      </c>
      <c r="C68" s="155"/>
      <c r="D68" s="182">
        <f t="shared" si="1"/>
        <v>442.654</v>
      </c>
      <c r="E68" s="30">
        <v>442.654</v>
      </c>
      <c r="F68" s="93"/>
      <c r="G68" s="30">
        <f>SUM(G69:G71)</f>
        <v>442.654</v>
      </c>
      <c r="H68" s="30">
        <f t="shared" ref="H68:J68" si="39">SUM(H69:H71)</f>
        <v>309.8578</v>
      </c>
      <c r="I68" s="30">
        <f t="shared" si="39"/>
        <v>88.530799999999999</v>
      </c>
      <c r="J68" s="30">
        <f t="shared" si="39"/>
        <v>44.2654</v>
      </c>
      <c r="K68" s="157"/>
    </row>
    <row r="69" spans="1:11" ht="33.75" customHeight="1" x14ac:dyDescent="0.25">
      <c r="A69" s="198" t="s">
        <v>26</v>
      </c>
      <c r="B69" s="204" t="s">
        <v>357</v>
      </c>
      <c r="C69" s="53" t="s">
        <v>358</v>
      </c>
      <c r="D69" s="183">
        <f t="shared" si="1"/>
        <v>226.94399999999999</v>
      </c>
      <c r="E69" s="45">
        <v>226.94399999999999</v>
      </c>
      <c r="F69" s="94"/>
      <c r="G69" s="45">
        <f>197*1.152</f>
        <v>226.94399999999999</v>
      </c>
      <c r="H69" s="45">
        <f t="shared" ref="H69:H71" si="40">G69*70%</f>
        <v>158.86079999999998</v>
      </c>
      <c r="I69" s="45">
        <f t="shared" ref="I69:I71" si="41">G69*20%</f>
        <v>45.388800000000003</v>
      </c>
      <c r="J69" s="45">
        <f t="shared" ref="J69:J71" si="42">G69*10%</f>
        <v>22.694400000000002</v>
      </c>
      <c r="K69" s="168"/>
    </row>
    <row r="70" spans="1:11" ht="42.75" customHeight="1" x14ac:dyDescent="0.25">
      <c r="A70" s="198" t="s">
        <v>26</v>
      </c>
      <c r="B70" s="204" t="s">
        <v>359</v>
      </c>
      <c r="C70" s="53" t="s">
        <v>360</v>
      </c>
      <c r="D70" s="183">
        <f t="shared" si="1"/>
        <v>99.1</v>
      </c>
      <c r="E70" s="45">
        <v>99.1</v>
      </c>
      <c r="F70" s="94"/>
      <c r="G70" s="45">
        <v>99.1</v>
      </c>
      <c r="H70" s="45">
        <f t="shared" si="40"/>
        <v>69.36999999999999</v>
      </c>
      <c r="I70" s="45">
        <f t="shared" si="41"/>
        <v>19.82</v>
      </c>
      <c r="J70" s="45">
        <f t="shared" si="42"/>
        <v>9.91</v>
      </c>
      <c r="K70" s="168"/>
    </row>
    <row r="71" spans="1:11" ht="45" customHeight="1" x14ac:dyDescent="0.25">
      <c r="A71" s="198" t="s">
        <v>26</v>
      </c>
      <c r="B71" s="204" t="s">
        <v>361</v>
      </c>
      <c r="C71" s="53" t="s">
        <v>362</v>
      </c>
      <c r="D71" s="183">
        <f t="shared" si="1"/>
        <v>116.61</v>
      </c>
      <c r="E71" s="45">
        <v>116.61</v>
      </c>
      <c r="F71" s="94"/>
      <c r="G71" s="45">
        <v>116.61</v>
      </c>
      <c r="H71" s="45">
        <f t="shared" si="40"/>
        <v>81.626999999999995</v>
      </c>
      <c r="I71" s="45">
        <f t="shared" si="41"/>
        <v>23.322000000000003</v>
      </c>
      <c r="J71" s="45">
        <f t="shared" si="42"/>
        <v>11.661000000000001</v>
      </c>
      <c r="K71" s="168"/>
    </row>
    <row r="72" spans="1:11" s="18" customFormat="1" ht="45" customHeight="1" x14ac:dyDescent="0.25">
      <c r="A72" s="199"/>
      <c r="B72" s="205" t="s">
        <v>65</v>
      </c>
      <c r="C72" s="117"/>
      <c r="D72" s="186">
        <f t="shared" si="1"/>
        <v>450</v>
      </c>
      <c r="E72" s="118"/>
      <c r="F72" s="189">
        <f>F73</f>
        <v>450</v>
      </c>
      <c r="G72" s="189">
        <f>G73</f>
        <v>450</v>
      </c>
      <c r="H72" s="189">
        <f t="shared" ref="H72:J72" si="43">H73</f>
        <v>315</v>
      </c>
      <c r="I72" s="189">
        <f t="shared" si="43"/>
        <v>90</v>
      </c>
      <c r="J72" s="189">
        <f t="shared" si="43"/>
        <v>45</v>
      </c>
      <c r="K72" s="174"/>
    </row>
    <row r="73" spans="1:11" s="18" customFormat="1" ht="45" customHeight="1" x14ac:dyDescent="0.25">
      <c r="A73" s="199"/>
      <c r="B73" s="206" t="s">
        <v>156</v>
      </c>
      <c r="C73" s="117"/>
      <c r="D73" s="186">
        <f t="shared" si="1"/>
        <v>450</v>
      </c>
      <c r="E73" s="118"/>
      <c r="F73" s="190">
        <v>450</v>
      </c>
      <c r="G73" s="190">
        <v>450</v>
      </c>
      <c r="H73" s="190">
        <f>G73*70%</f>
        <v>315</v>
      </c>
      <c r="I73" s="190">
        <f>G73*20%</f>
        <v>90</v>
      </c>
      <c r="J73" s="190">
        <f>G73*10%</f>
        <v>45</v>
      </c>
      <c r="K73" s="174"/>
    </row>
    <row r="74" spans="1:11" s="18" customFormat="1" ht="45" customHeight="1" x14ac:dyDescent="0.25">
      <c r="A74" s="199"/>
      <c r="B74" s="207" t="s">
        <v>28</v>
      </c>
      <c r="C74" s="117"/>
      <c r="D74" s="186">
        <f t="shared" si="1"/>
        <v>890</v>
      </c>
      <c r="E74" s="118"/>
      <c r="F74" s="189">
        <f>SUM(F75:F75)</f>
        <v>890</v>
      </c>
      <c r="G74" s="189">
        <f>SUM(G75:G75)</f>
        <v>890</v>
      </c>
      <c r="H74" s="189">
        <f t="shared" ref="H74:J74" si="44">SUM(H75:H75)</f>
        <v>623</v>
      </c>
      <c r="I74" s="189">
        <f t="shared" si="44"/>
        <v>222.5</v>
      </c>
      <c r="J74" s="189">
        <f t="shared" si="44"/>
        <v>44.5</v>
      </c>
      <c r="K74" s="174"/>
    </row>
    <row r="75" spans="1:11" s="18" customFormat="1" ht="45" customHeight="1" x14ac:dyDescent="0.25">
      <c r="A75" s="199"/>
      <c r="B75" s="208" t="s">
        <v>152</v>
      </c>
      <c r="C75" s="117"/>
      <c r="D75" s="186">
        <f t="shared" si="1"/>
        <v>890</v>
      </c>
      <c r="E75" s="118"/>
      <c r="F75" s="190">
        <v>890</v>
      </c>
      <c r="G75" s="190">
        <v>890</v>
      </c>
      <c r="H75" s="190">
        <f>G75*70%</f>
        <v>623</v>
      </c>
      <c r="I75" s="190">
        <f>G75*25%</f>
        <v>222.5</v>
      </c>
      <c r="J75" s="190">
        <f>G75*5%</f>
        <v>44.5</v>
      </c>
      <c r="K75" s="174"/>
    </row>
    <row r="76" spans="1:11" s="5" customFormat="1" ht="41.25" customHeight="1" x14ac:dyDescent="0.25">
      <c r="A76" s="197">
        <v>2</v>
      </c>
      <c r="B76" s="203" t="s">
        <v>36</v>
      </c>
      <c r="C76" s="155"/>
      <c r="D76" s="182">
        <f t="shared" si="1"/>
        <v>3560</v>
      </c>
      <c r="E76" s="30">
        <f>SUM(E77:E85)</f>
        <v>1110</v>
      </c>
      <c r="F76" s="30">
        <f>SUM(F77:F85)</f>
        <v>2450</v>
      </c>
      <c r="G76" s="30">
        <f t="shared" ref="G76:J76" si="45">SUM(G77:G85)</f>
        <v>3560</v>
      </c>
      <c r="H76" s="30">
        <f t="shared" si="45"/>
        <v>2437</v>
      </c>
      <c r="I76" s="30">
        <f t="shared" si="45"/>
        <v>656.5</v>
      </c>
      <c r="J76" s="30">
        <f t="shared" si="45"/>
        <v>466.5</v>
      </c>
      <c r="K76" s="157"/>
    </row>
    <row r="77" spans="1:11" ht="47.25" customHeight="1" x14ac:dyDescent="0.25">
      <c r="A77" s="198" t="s">
        <v>26</v>
      </c>
      <c r="B77" s="204" t="s">
        <v>363</v>
      </c>
      <c r="C77" s="53" t="s">
        <v>364</v>
      </c>
      <c r="D77" s="183">
        <f t="shared" si="1"/>
        <v>100</v>
      </c>
      <c r="E77" s="45">
        <v>100</v>
      </c>
      <c r="F77" s="94"/>
      <c r="G77" s="45">
        <v>100</v>
      </c>
      <c r="H77" s="55">
        <f>G77*70%</f>
        <v>70</v>
      </c>
      <c r="I77" s="45">
        <f>G77*15%</f>
        <v>15</v>
      </c>
      <c r="J77" s="55">
        <f>G77-H77-I77</f>
        <v>15</v>
      </c>
      <c r="K77" s="168"/>
    </row>
    <row r="78" spans="1:11" ht="84.75" customHeight="1" x14ac:dyDescent="0.25">
      <c r="A78" s="198" t="s">
        <v>26</v>
      </c>
      <c r="B78" s="204" t="s">
        <v>365</v>
      </c>
      <c r="C78" s="53" t="s">
        <v>39</v>
      </c>
      <c r="D78" s="183">
        <f t="shared" ref="D78:D142" si="46">E78+F78</f>
        <v>240</v>
      </c>
      <c r="E78" s="45">
        <v>240</v>
      </c>
      <c r="F78" s="94"/>
      <c r="G78" s="45">
        <v>240</v>
      </c>
      <c r="H78" s="55">
        <f>G78*70%</f>
        <v>168</v>
      </c>
      <c r="I78" s="45">
        <f>G78*15%</f>
        <v>36</v>
      </c>
      <c r="J78" s="55">
        <f>G78-H78-I78</f>
        <v>36</v>
      </c>
      <c r="K78" s="168"/>
    </row>
    <row r="79" spans="1:11" ht="45" customHeight="1" x14ac:dyDescent="0.25">
      <c r="A79" s="198" t="s">
        <v>26</v>
      </c>
      <c r="B79" s="204" t="s">
        <v>366</v>
      </c>
      <c r="C79" s="53" t="s">
        <v>367</v>
      </c>
      <c r="D79" s="183">
        <f t="shared" si="46"/>
        <v>100</v>
      </c>
      <c r="E79" s="45">
        <v>100</v>
      </c>
      <c r="F79" s="94"/>
      <c r="G79" s="45">
        <v>100</v>
      </c>
      <c r="H79" s="55">
        <f t="shared" ref="H79:H83" si="47">G79*70%</f>
        <v>70</v>
      </c>
      <c r="I79" s="45">
        <f>G79*15%</f>
        <v>15</v>
      </c>
      <c r="J79" s="55">
        <f>G79*15%</f>
        <v>15</v>
      </c>
      <c r="K79" s="168"/>
    </row>
    <row r="80" spans="1:11" ht="67.5" customHeight="1" x14ac:dyDescent="0.25">
      <c r="A80" s="198" t="s">
        <v>26</v>
      </c>
      <c r="B80" s="204" t="s">
        <v>368</v>
      </c>
      <c r="C80" s="53" t="s">
        <v>369</v>
      </c>
      <c r="D80" s="183">
        <f t="shared" si="46"/>
        <v>100</v>
      </c>
      <c r="E80" s="45">
        <v>100</v>
      </c>
      <c r="F80" s="94"/>
      <c r="G80" s="45">
        <v>100</v>
      </c>
      <c r="H80" s="55">
        <f t="shared" si="47"/>
        <v>70</v>
      </c>
      <c r="I80" s="45">
        <f t="shared" ref="I80:I83" si="48">G80*15%</f>
        <v>15</v>
      </c>
      <c r="J80" s="55">
        <f t="shared" ref="J80:J83" si="49">G80*15%</f>
        <v>15</v>
      </c>
      <c r="K80" s="168"/>
    </row>
    <row r="81" spans="1:11" ht="63.75" customHeight="1" x14ac:dyDescent="0.25">
      <c r="A81" s="198" t="s">
        <v>26</v>
      </c>
      <c r="B81" s="204" t="s">
        <v>370</v>
      </c>
      <c r="C81" s="53" t="s">
        <v>39</v>
      </c>
      <c r="D81" s="183">
        <f t="shared" si="46"/>
        <v>240</v>
      </c>
      <c r="E81" s="45">
        <v>240</v>
      </c>
      <c r="F81" s="94"/>
      <c r="G81" s="45">
        <v>240</v>
      </c>
      <c r="H81" s="55">
        <f t="shared" si="47"/>
        <v>168</v>
      </c>
      <c r="I81" s="45">
        <f t="shared" si="48"/>
        <v>36</v>
      </c>
      <c r="J81" s="55">
        <f t="shared" si="49"/>
        <v>36</v>
      </c>
      <c r="K81" s="168"/>
    </row>
    <row r="82" spans="1:11" ht="59.25" customHeight="1" x14ac:dyDescent="0.25">
      <c r="A82" s="198" t="s">
        <v>26</v>
      </c>
      <c r="B82" s="204" t="s">
        <v>371</v>
      </c>
      <c r="C82" s="53" t="s">
        <v>39</v>
      </c>
      <c r="D82" s="183">
        <f t="shared" si="46"/>
        <v>240</v>
      </c>
      <c r="E82" s="45">
        <v>240</v>
      </c>
      <c r="F82" s="94"/>
      <c r="G82" s="45">
        <v>240</v>
      </c>
      <c r="H82" s="55">
        <f t="shared" si="47"/>
        <v>168</v>
      </c>
      <c r="I82" s="45">
        <f t="shared" si="48"/>
        <v>36</v>
      </c>
      <c r="J82" s="55">
        <f t="shared" si="49"/>
        <v>36</v>
      </c>
      <c r="K82" s="168"/>
    </row>
    <row r="83" spans="1:11" ht="48" customHeight="1" x14ac:dyDescent="0.25">
      <c r="A83" s="198" t="s">
        <v>26</v>
      </c>
      <c r="B83" s="204" t="s">
        <v>372</v>
      </c>
      <c r="C83" s="53"/>
      <c r="D83" s="183">
        <f t="shared" si="46"/>
        <v>90</v>
      </c>
      <c r="E83" s="45">
        <v>90</v>
      </c>
      <c r="F83" s="94"/>
      <c r="G83" s="45">
        <v>90</v>
      </c>
      <c r="H83" s="55">
        <f t="shared" si="47"/>
        <v>62.999999999999993</v>
      </c>
      <c r="I83" s="45">
        <f t="shared" si="48"/>
        <v>13.5</v>
      </c>
      <c r="J83" s="55">
        <f t="shared" si="49"/>
        <v>13.5</v>
      </c>
      <c r="K83" s="168"/>
    </row>
    <row r="84" spans="1:11" s="18" customFormat="1" ht="48" customHeight="1" x14ac:dyDescent="0.25">
      <c r="A84" s="199"/>
      <c r="B84" s="208" t="s">
        <v>157</v>
      </c>
      <c r="C84" s="117"/>
      <c r="D84" s="186"/>
      <c r="E84" s="118"/>
      <c r="F84" s="190">
        <v>550</v>
      </c>
      <c r="G84" s="190">
        <v>550</v>
      </c>
      <c r="H84" s="190">
        <f>G84*60%</f>
        <v>330</v>
      </c>
      <c r="I84" s="190">
        <f>G84*20%</f>
        <v>110</v>
      </c>
      <c r="J84" s="190">
        <f>G84*20%</f>
        <v>110</v>
      </c>
      <c r="K84" s="174"/>
    </row>
    <row r="85" spans="1:11" s="18" customFormat="1" ht="48" customHeight="1" x14ac:dyDescent="0.25">
      <c r="A85" s="199"/>
      <c r="B85" s="208" t="s">
        <v>158</v>
      </c>
      <c r="C85" s="117"/>
      <c r="D85" s="186"/>
      <c r="E85" s="118"/>
      <c r="F85" s="162">
        <v>1900</v>
      </c>
      <c r="G85" s="162">
        <v>1900</v>
      </c>
      <c r="H85" s="162">
        <f>G85*0.7</f>
        <v>1330</v>
      </c>
      <c r="I85" s="162">
        <f>G85*0.2</f>
        <v>380</v>
      </c>
      <c r="J85" s="162">
        <f>G85*0.1</f>
        <v>190</v>
      </c>
      <c r="K85" s="174"/>
    </row>
    <row r="86" spans="1:11" s="173" customFormat="1" ht="27" customHeight="1" x14ac:dyDescent="0.25">
      <c r="A86" s="201" t="s">
        <v>78</v>
      </c>
      <c r="B86" s="213" t="s">
        <v>128</v>
      </c>
      <c r="C86" s="135"/>
      <c r="D86" s="185">
        <f t="shared" si="46"/>
        <v>2069.4699999999998</v>
      </c>
      <c r="E86" s="136">
        <v>2069.4699999999998</v>
      </c>
      <c r="F86" s="143"/>
      <c r="G86" s="136">
        <f>G87+G97+G95</f>
        <v>2069.4699999999998</v>
      </c>
      <c r="H86" s="136">
        <f t="shared" ref="H86:J86" si="50">H87+H97+H95</f>
        <v>1421.39</v>
      </c>
      <c r="I86" s="136">
        <f t="shared" si="50"/>
        <v>344.15999999999997</v>
      </c>
      <c r="J86" s="136">
        <f t="shared" si="50"/>
        <v>303.91999999999996</v>
      </c>
      <c r="K86" s="172"/>
    </row>
    <row r="87" spans="1:11" s="5" customFormat="1" ht="29.25" customHeight="1" x14ac:dyDescent="0.25">
      <c r="A87" s="197">
        <v>1</v>
      </c>
      <c r="B87" s="203" t="s">
        <v>22</v>
      </c>
      <c r="C87" s="155"/>
      <c r="D87" s="182">
        <f t="shared" si="46"/>
        <v>1346.4699999999998</v>
      </c>
      <c r="E87" s="30">
        <v>1346.4699999999998</v>
      </c>
      <c r="F87" s="93"/>
      <c r="G87" s="30">
        <f>G88+G91</f>
        <v>1346.4699999999998</v>
      </c>
      <c r="H87" s="30">
        <f t="shared" ref="H87:J87" si="51">H88+H91</f>
        <v>814.69</v>
      </c>
      <c r="I87" s="30">
        <f t="shared" si="51"/>
        <v>265.89</v>
      </c>
      <c r="J87" s="30">
        <f t="shared" si="51"/>
        <v>265.89</v>
      </c>
      <c r="K87" s="157"/>
    </row>
    <row r="88" spans="1:11" s="171" customFormat="1" ht="29.25" customHeight="1" x14ac:dyDescent="0.25">
      <c r="A88" s="200" t="s">
        <v>82</v>
      </c>
      <c r="B88" s="209" t="s">
        <v>373</v>
      </c>
      <c r="C88" s="44"/>
      <c r="D88" s="184">
        <f t="shared" si="46"/>
        <v>426.13</v>
      </c>
      <c r="E88" s="47">
        <v>426.13</v>
      </c>
      <c r="F88" s="169"/>
      <c r="G88" s="47">
        <f>SUM(G89:G90)</f>
        <v>426.13</v>
      </c>
      <c r="H88" s="47">
        <f t="shared" ref="H88:J88" si="52">SUM(H89:H90)</f>
        <v>170.452</v>
      </c>
      <c r="I88" s="47">
        <f t="shared" si="52"/>
        <v>127.839</v>
      </c>
      <c r="J88" s="47">
        <f t="shared" si="52"/>
        <v>127.839</v>
      </c>
      <c r="K88" s="170"/>
    </row>
    <row r="89" spans="1:11" ht="45" customHeight="1" x14ac:dyDescent="0.25">
      <c r="A89" s="198" t="s">
        <v>26</v>
      </c>
      <c r="B89" s="204" t="s">
        <v>374</v>
      </c>
      <c r="C89" s="53">
        <v>0.18</v>
      </c>
      <c r="D89" s="183">
        <f t="shared" si="46"/>
        <v>178.38</v>
      </c>
      <c r="E89" s="45">
        <v>178.38</v>
      </c>
      <c r="F89" s="94"/>
      <c r="G89" s="45">
        <f>991*C89</f>
        <v>178.38</v>
      </c>
      <c r="H89" s="45">
        <f>G89*40%</f>
        <v>71.352000000000004</v>
      </c>
      <c r="I89" s="45">
        <f>G89*30%</f>
        <v>53.513999999999996</v>
      </c>
      <c r="J89" s="45">
        <f>G89*30%</f>
        <v>53.513999999999996</v>
      </c>
      <c r="K89" s="168"/>
    </row>
    <row r="90" spans="1:11" ht="45" customHeight="1" x14ac:dyDescent="0.25">
      <c r="A90" s="198" t="s">
        <v>26</v>
      </c>
      <c r="B90" s="204" t="s">
        <v>375</v>
      </c>
      <c r="C90" s="53">
        <v>0.25</v>
      </c>
      <c r="D90" s="183">
        <f t="shared" si="46"/>
        <v>247.75</v>
      </c>
      <c r="E90" s="45">
        <v>247.75</v>
      </c>
      <c r="F90" s="94"/>
      <c r="G90" s="45">
        <f>991*C90</f>
        <v>247.75</v>
      </c>
      <c r="H90" s="45">
        <f>G90*40%</f>
        <v>99.100000000000009</v>
      </c>
      <c r="I90" s="45">
        <f>G90*30%</f>
        <v>74.325000000000003</v>
      </c>
      <c r="J90" s="45">
        <f>G90*30%</f>
        <v>74.325000000000003</v>
      </c>
      <c r="K90" s="168"/>
    </row>
    <row r="91" spans="1:11" s="171" customFormat="1" ht="25.5" customHeight="1" x14ac:dyDescent="0.25">
      <c r="A91" s="200" t="s">
        <v>84</v>
      </c>
      <c r="B91" s="209" t="s">
        <v>376</v>
      </c>
      <c r="C91" s="44"/>
      <c r="D91" s="184">
        <f t="shared" si="46"/>
        <v>920.33999999999992</v>
      </c>
      <c r="E91" s="47">
        <v>920.33999999999992</v>
      </c>
      <c r="F91" s="169"/>
      <c r="G91" s="47">
        <f>SUM(G92:G94)</f>
        <v>920.33999999999992</v>
      </c>
      <c r="H91" s="47">
        <f t="shared" ref="H91:J91" si="53">SUM(H92:H94)</f>
        <v>644.23800000000006</v>
      </c>
      <c r="I91" s="47">
        <f t="shared" si="53"/>
        <v>138.05099999999999</v>
      </c>
      <c r="J91" s="47">
        <f t="shared" si="53"/>
        <v>138.05099999999999</v>
      </c>
      <c r="K91" s="170"/>
    </row>
    <row r="92" spans="1:11" ht="42.75" customHeight="1" x14ac:dyDescent="0.25">
      <c r="A92" s="198" t="s">
        <v>26</v>
      </c>
      <c r="B92" s="204" t="s">
        <v>377</v>
      </c>
      <c r="C92" s="53">
        <v>0.56999999999999995</v>
      </c>
      <c r="D92" s="183">
        <f t="shared" si="46"/>
        <v>420.09</v>
      </c>
      <c r="E92" s="45">
        <v>420.09</v>
      </c>
      <c r="F92" s="94"/>
      <c r="G92" s="45">
        <v>420.09</v>
      </c>
      <c r="H92" s="45">
        <f>G92*70%</f>
        <v>294.06299999999999</v>
      </c>
      <c r="I92" s="45">
        <f>G92*15%</f>
        <v>63.013499999999993</v>
      </c>
      <c r="J92" s="45">
        <f>G92*15%</f>
        <v>63.013499999999993</v>
      </c>
      <c r="K92" s="168"/>
    </row>
    <row r="93" spans="1:11" ht="42.75" customHeight="1" x14ac:dyDescent="0.25">
      <c r="A93" s="198" t="s">
        <v>26</v>
      </c>
      <c r="B93" s="204" t="s">
        <v>378</v>
      </c>
      <c r="C93" s="53">
        <v>0.52</v>
      </c>
      <c r="D93" s="183">
        <f t="shared" si="46"/>
        <v>226.20000000000002</v>
      </c>
      <c r="E93" s="45">
        <v>226.20000000000002</v>
      </c>
      <c r="F93" s="94"/>
      <c r="G93" s="45">
        <v>226.20000000000002</v>
      </c>
      <c r="H93" s="45">
        <f t="shared" ref="H93:H94" si="54">G93*70%</f>
        <v>158.34</v>
      </c>
      <c r="I93" s="45">
        <f t="shared" ref="I93:I94" si="55">G93*15%</f>
        <v>33.93</v>
      </c>
      <c r="J93" s="45">
        <f t="shared" ref="J93:J94" si="56">G93*15%</f>
        <v>33.93</v>
      </c>
      <c r="K93" s="168"/>
    </row>
    <row r="94" spans="1:11" ht="44.25" customHeight="1" x14ac:dyDescent="0.25">
      <c r="A94" s="198" t="s">
        <v>26</v>
      </c>
      <c r="B94" s="204" t="s">
        <v>379</v>
      </c>
      <c r="C94" s="53">
        <v>0.63</v>
      </c>
      <c r="D94" s="183">
        <f t="shared" si="46"/>
        <v>274.05</v>
      </c>
      <c r="E94" s="45">
        <v>274.05</v>
      </c>
      <c r="F94" s="94"/>
      <c r="G94" s="45">
        <v>274.05</v>
      </c>
      <c r="H94" s="45">
        <f t="shared" si="54"/>
        <v>191.83500000000001</v>
      </c>
      <c r="I94" s="45">
        <f t="shared" si="55"/>
        <v>41.107500000000002</v>
      </c>
      <c r="J94" s="45">
        <f t="shared" si="56"/>
        <v>41.107500000000002</v>
      </c>
      <c r="K94" s="168"/>
    </row>
    <row r="95" spans="1:11" s="5" customFormat="1" ht="28.5" customHeight="1" x14ac:dyDescent="0.25">
      <c r="A95" s="197">
        <v>2</v>
      </c>
      <c r="B95" s="203" t="s">
        <v>28</v>
      </c>
      <c r="C95" s="155"/>
      <c r="D95" s="182">
        <f t="shared" si="46"/>
        <v>503</v>
      </c>
      <c r="E95" s="30">
        <v>503</v>
      </c>
      <c r="F95" s="93"/>
      <c r="G95" s="30">
        <f>G96</f>
        <v>503</v>
      </c>
      <c r="H95" s="30">
        <f t="shared" ref="H95:J95" si="57">H96</f>
        <v>452.7</v>
      </c>
      <c r="I95" s="30">
        <f t="shared" si="57"/>
        <v>45.269999999999996</v>
      </c>
      <c r="J95" s="30">
        <f t="shared" si="57"/>
        <v>5.03</v>
      </c>
      <c r="K95" s="157"/>
    </row>
    <row r="96" spans="1:11" ht="28.5" customHeight="1" x14ac:dyDescent="0.25">
      <c r="A96" s="198" t="s">
        <v>26</v>
      </c>
      <c r="B96" s="204" t="s">
        <v>380</v>
      </c>
      <c r="C96" s="53" t="s">
        <v>39</v>
      </c>
      <c r="D96" s="183">
        <f t="shared" si="46"/>
        <v>503</v>
      </c>
      <c r="E96" s="45">
        <v>503</v>
      </c>
      <c r="F96" s="94"/>
      <c r="G96" s="45">
        <v>503</v>
      </c>
      <c r="H96" s="45">
        <f>G96*90%</f>
        <v>452.7</v>
      </c>
      <c r="I96" s="45">
        <f>G96*9%</f>
        <v>45.269999999999996</v>
      </c>
      <c r="J96" s="45">
        <f>G96*1%</f>
        <v>5.03</v>
      </c>
      <c r="K96" s="168"/>
    </row>
    <row r="97" spans="1:11" s="5" customFormat="1" ht="28.5" customHeight="1" x14ac:dyDescent="0.25">
      <c r="A97" s="197">
        <v>3</v>
      </c>
      <c r="B97" s="203" t="s">
        <v>63</v>
      </c>
      <c r="C97" s="155"/>
      <c r="D97" s="182">
        <f t="shared" si="46"/>
        <v>220</v>
      </c>
      <c r="E97" s="30">
        <v>220</v>
      </c>
      <c r="F97" s="93"/>
      <c r="G97" s="30">
        <f>G98</f>
        <v>220</v>
      </c>
      <c r="H97" s="30">
        <f t="shared" ref="H97:J97" si="58">H98</f>
        <v>154</v>
      </c>
      <c r="I97" s="30">
        <f t="shared" si="58"/>
        <v>33</v>
      </c>
      <c r="J97" s="30">
        <f t="shared" si="58"/>
        <v>33</v>
      </c>
      <c r="K97" s="157"/>
    </row>
    <row r="98" spans="1:11" ht="113.25" customHeight="1" x14ac:dyDescent="0.25">
      <c r="A98" s="198" t="s">
        <v>26</v>
      </c>
      <c r="B98" s="204" t="s">
        <v>381</v>
      </c>
      <c r="C98" s="53" t="s">
        <v>39</v>
      </c>
      <c r="D98" s="183">
        <f t="shared" si="46"/>
        <v>220</v>
      </c>
      <c r="E98" s="45">
        <v>220</v>
      </c>
      <c r="F98" s="94"/>
      <c r="G98" s="45">
        <v>220</v>
      </c>
      <c r="H98" s="45">
        <f>G98*70%</f>
        <v>154</v>
      </c>
      <c r="I98" s="45">
        <f>G98*15%</f>
        <v>33</v>
      </c>
      <c r="J98" s="45">
        <f>G98*15%</f>
        <v>33</v>
      </c>
      <c r="K98" s="168"/>
    </row>
    <row r="99" spans="1:11" s="5" customFormat="1" ht="24" customHeight="1" x14ac:dyDescent="0.25">
      <c r="A99" s="197" t="s">
        <v>99</v>
      </c>
      <c r="B99" s="203" t="s">
        <v>75</v>
      </c>
      <c r="C99" s="155"/>
      <c r="D99" s="182">
        <f t="shared" si="46"/>
        <v>1879.6</v>
      </c>
      <c r="E99" s="30">
        <v>1879.6</v>
      </c>
      <c r="F99" s="93"/>
      <c r="G99" s="30">
        <f>G100+G108+G106+G104</f>
        <v>1879.6</v>
      </c>
      <c r="H99" s="30">
        <f t="shared" ref="H99:J99" si="59">H100+H108+H106+H104</f>
        <v>1250.1199999999999</v>
      </c>
      <c r="I99" s="30">
        <f t="shared" si="59"/>
        <v>435.33199999999999</v>
      </c>
      <c r="J99" s="30">
        <f t="shared" si="59"/>
        <v>194.148</v>
      </c>
      <c r="K99" s="157"/>
    </row>
    <row r="100" spans="1:11" s="5" customFormat="1" ht="24" customHeight="1" x14ac:dyDescent="0.25">
      <c r="A100" s="197">
        <v>1</v>
      </c>
      <c r="B100" s="203" t="s">
        <v>382</v>
      </c>
      <c r="C100" s="155"/>
      <c r="D100" s="182">
        <f t="shared" si="46"/>
        <v>328</v>
      </c>
      <c r="E100" s="30">
        <v>328</v>
      </c>
      <c r="F100" s="93"/>
      <c r="G100" s="30">
        <f>SUM(G101,G102,G103,)</f>
        <v>328</v>
      </c>
      <c r="H100" s="30">
        <f t="shared" ref="H100:J100" si="60">SUM(H101,H102,H103,)</f>
        <v>164</v>
      </c>
      <c r="I100" s="30">
        <f t="shared" si="60"/>
        <v>82</v>
      </c>
      <c r="J100" s="30">
        <f t="shared" si="60"/>
        <v>82</v>
      </c>
      <c r="K100" s="157"/>
    </row>
    <row r="101" spans="1:11" ht="24" customHeight="1" x14ac:dyDescent="0.25">
      <c r="A101" s="198" t="s">
        <v>26</v>
      </c>
      <c r="B101" s="204" t="s">
        <v>383</v>
      </c>
      <c r="C101" s="53" t="s">
        <v>384</v>
      </c>
      <c r="D101" s="183">
        <f t="shared" si="46"/>
        <v>104</v>
      </c>
      <c r="E101" s="45">
        <v>104</v>
      </c>
      <c r="F101" s="94"/>
      <c r="G101" s="45">
        <v>104</v>
      </c>
      <c r="H101" s="45">
        <f>G101*50%</f>
        <v>52</v>
      </c>
      <c r="I101" s="45">
        <f>G101*25%</f>
        <v>26</v>
      </c>
      <c r="J101" s="45">
        <f>G101*25%</f>
        <v>26</v>
      </c>
      <c r="K101" s="168"/>
    </row>
    <row r="102" spans="1:11" ht="24" customHeight="1" x14ac:dyDescent="0.25">
      <c r="A102" s="198" t="s">
        <v>26</v>
      </c>
      <c r="B102" s="204" t="s">
        <v>385</v>
      </c>
      <c r="C102" s="53" t="s">
        <v>386</v>
      </c>
      <c r="D102" s="183">
        <f t="shared" si="46"/>
        <v>140</v>
      </c>
      <c r="E102" s="45">
        <v>140</v>
      </c>
      <c r="F102" s="94"/>
      <c r="G102" s="45">
        <v>140</v>
      </c>
      <c r="H102" s="45">
        <f t="shared" ref="H102:H103" si="61">G102*50%</f>
        <v>70</v>
      </c>
      <c r="I102" s="45">
        <f t="shared" ref="I102:I103" si="62">G102*25%</f>
        <v>35</v>
      </c>
      <c r="J102" s="45">
        <f t="shared" ref="J102:J103" si="63">G102*25%</f>
        <v>35</v>
      </c>
      <c r="K102" s="168"/>
    </row>
    <row r="103" spans="1:11" ht="24" customHeight="1" x14ac:dyDescent="0.25">
      <c r="A103" s="198" t="s">
        <v>26</v>
      </c>
      <c r="B103" s="204" t="s">
        <v>387</v>
      </c>
      <c r="C103" s="53" t="s">
        <v>388</v>
      </c>
      <c r="D103" s="183">
        <f t="shared" si="46"/>
        <v>84</v>
      </c>
      <c r="E103" s="45">
        <v>84</v>
      </c>
      <c r="F103" s="94"/>
      <c r="G103" s="45">
        <v>84</v>
      </c>
      <c r="H103" s="45">
        <f t="shared" si="61"/>
        <v>42</v>
      </c>
      <c r="I103" s="45">
        <f t="shared" si="62"/>
        <v>21</v>
      </c>
      <c r="J103" s="45">
        <f t="shared" si="63"/>
        <v>21</v>
      </c>
      <c r="K103" s="168"/>
    </row>
    <row r="104" spans="1:11" s="5" customFormat="1" ht="24" customHeight="1" x14ac:dyDescent="0.25">
      <c r="A104" s="197">
        <v>2</v>
      </c>
      <c r="B104" s="203" t="s">
        <v>28</v>
      </c>
      <c r="C104" s="155"/>
      <c r="D104" s="182">
        <f t="shared" si="46"/>
        <v>700</v>
      </c>
      <c r="E104" s="30">
        <v>700</v>
      </c>
      <c r="F104" s="93"/>
      <c r="G104" s="30">
        <f>G105</f>
        <v>700</v>
      </c>
      <c r="H104" s="30">
        <f t="shared" ref="H104:J104" si="64">H105</f>
        <v>489.99999999999994</v>
      </c>
      <c r="I104" s="30">
        <f t="shared" si="64"/>
        <v>175</v>
      </c>
      <c r="J104" s="30">
        <f t="shared" si="64"/>
        <v>35</v>
      </c>
      <c r="K104" s="157"/>
    </row>
    <row r="105" spans="1:11" ht="24" customHeight="1" x14ac:dyDescent="0.25">
      <c r="A105" s="198" t="s">
        <v>26</v>
      </c>
      <c r="B105" s="204" t="s">
        <v>389</v>
      </c>
      <c r="C105" s="53" t="s">
        <v>390</v>
      </c>
      <c r="D105" s="183">
        <f t="shared" si="46"/>
        <v>700</v>
      </c>
      <c r="E105" s="45">
        <v>700</v>
      </c>
      <c r="F105" s="94"/>
      <c r="G105" s="45">
        <v>700</v>
      </c>
      <c r="H105" s="45">
        <f>G105*70%</f>
        <v>489.99999999999994</v>
      </c>
      <c r="I105" s="45">
        <f>G105*25%</f>
        <v>175</v>
      </c>
      <c r="J105" s="45">
        <f>G105*5%</f>
        <v>35</v>
      </c>
      <c r="K105" s="168"/>
    </row>
    <row r="106" spans="1:11" s="5" customFormat="1" ht="24" customHeight="1" x14ac:dyDescent="0.25">
      <c r="A106" s="197">
        <v>3</v>
      </c>
      <c r="B106" s="203" t="s">
        <v>46</v>
      </c>
      <c r="C106" s="155"/>
      <c r="D106" s="182">
        <f t="shared" si="46"/>
        <v>421.6</v>
      </c>
      <c r="E106" s="30">
        <v>421.6</v>
      </c>
      <c r="F106" s="93"/>
      <c r="G106" s="30">
        <f>G107</f>
        <v>421.6</v>
      </c>
      <c r="H106" s="30">
        <f t="shared" ref="H106:J106" si="65">H107</f>
        <v>295.12</v>
      </c>
      <c r="I106" s="30">
        <f t="shared" si="65"/>
        <v>113.83200000000001</v>
      </c>
      <c r="J106" s="30">
        <f t="shared" si="65"/>
        <v>12.648</v>
      </c>
      <c r="K106" s="157"/>
    </row>
    <row r="107" spans="1:11" ht="42.75" customHeight="1" x14ac:dyDescent="0.25">
      <c r="A107" s="198" t="s">
        <v>26</v>
      </c>
      <c r="B107" s="204" t="s">
        <v>391</v>
      </c>
      <c r="C107" s="53" t="s">
        <v>39</v>
      </c>
      <c r="D107" s="183">
        <f t="shared" si="46"/>
        <v>421.6</v>
      </c>
      <c r="E107" s="45">
        <v>421.6</v>
      </c>
      <c r="F107" s="94"/>
      <c r="G107" s="45">
        <v>421.6</v>
      </c>
      <c r="H107" s="45">
        <f>G107*70%</f>
        <v>295.12</v>
      </c>
      <c r="I107" s="45">
        <f>G107*27%</f>
        <v>113.83200000000001</v>
      </c>
      <c r="J107" s="45">
        <f>G107*3%</f>
        <v>12.648</v>
      </c>
      <c r="K107" s="168"/>
    </row>
    <row r="108" spans="1:11" s="5" customFormat="1" ht="24" customHeight="1" x14ac:dyDescent="0.25">
      <c r="A108" s="197">
        <v>4</v>
      </c>
      <c r="B108" s="203" t="s">
        <v>63</v>
      </c>
      <c r="C108" s="155"/>
      <c r="D108" s="182">
        <f t="shared" si="46"/>
        <v>430</v>
      </c>
      <c r="E108" s="30">
        <v>430</v>
      </c>
      <c r="F108" s="93"/>
      <c r="G108" s="30">
        <f>G109+G110</f>
        <v>430</v>
      </c>
      <c r="H108" s="30">
        <f t="shared" ref="H108:J108" si="66">H109+H110</f>
        <v>301</v>
      </c>
      <c r="I108" s="30">
        <f t="shared" si="66"/>
        <v>64.5</v>
      </c>
      <c r="J108" s="30">
        <f t="shared" si="66"/>
        <v>64.5</v>
      </c>
      <c r="K108" s="157"/>
    </row>
    <row r="109" spans="1:11" ht="45" customHeight="1" x14ac:dyDescent="0.25">
      <c r="A109" s="198" t="s">
        <v>26</v>
      </c>
      <c r="B109" s="204" t="s">
        <v>392</v>
      </c>
      <c r="C109" s="53" t="s">
        <v>39</v>
      </c>
      <c r="D109" s="183">
        <f t="shared" si="46"/>
        <v>310</v>
      </c>
      <c r="E109" s="45">
        <v>310</v>
      </c>
      <c r="F109" s="94"/>
      <c r="G109" s="45">
        <v>310</v>
      </c>
      <c r="H109" s="45">
        <f>G109*70%</f>
        <v>217</v>
      </c>
      <c r="I109" s="45">
        <f>G109*15%</f>
        <v>46.5</v>
      </c>
      <c r="J109" s="45">
        <f>G109*15%</f>
        <v>46.5</v>
      </c>
      <c r="K109" s="168"/>
    </row>
    <row r="110" spans="1:11" ht="31.5" customHeight="1" x14ac:dyDescent="0.25">
      <c r="A110" s="198" t="s">
        <v>26</v>
      </c>
      <c r="B110" s="204" t="s">
        <v>393</v>
      </c>
      <c r="C110" s="53" t="s">
        <v>39</v>
      </c>
      <c r="D110" s="183">
        <f t="shared" si="46"/>
        <v>120</v>
      </c>
      <c r="E110" s="45">
        <v>120</v>
      </c>
      <c r="F110" s="94"/>
      <c r="G110" s="45">
        <v>120</v>
      </c>
      <c r="H110" s="45">
        <f>G110*70%</f>
        <v>84</v>
      </c>
      <c r="I110" s="45">
        <f>G110*15%</f>
        <v>18</v>
      </c>
      <c r="J110" s="45">
        <f>G110*15%</f>
        <v>18</v>
      </c>
      <c r="K110" s="168"/>
    </row>
    <row r="111" spans="1:11" s="173" customFormat="1" ht="22.5" customHeight="1" x14ac:dyDescent="0.25">
      <c r="A111" s="201" t="s">
        <v>394</v>
      </c>
      <c r="B111" s="213" t="s">
        <v>395</v>
      </c>
      <c r="C111" s="135"/>
      <c r="D111" s="185">
        <f t="shared" si="46"/>
        <v>1382.992</v>
      </c>
      <c r="E111" s="136">
        <v>1382.992</v>
      </c>
      <c r="F111" s="143"/>
      <c r="G111" s="136">
        <f>G112+G116+G120</f>
        <v>1382.992</v>
      </c>
      <c r="H111" s="136">
        <f t="shared" ref="H111:J111" si="67">H112+H116+H120</f>
        <v>774.19680000000005</v>
      </c>
      <c r="I111" s="136">
        <f t="shared" si="67"/>
        <v>316.39760000000001</v>
      </c>
      <c r="J111" s="136">
        <f t="shared" si="67"/>
        <v>292.39760000000001</v>
      </c>
      <c r="K111" s="172"/>
    </row>
    <row r="112" spans="1:11" s="5" customFormat="1" ht="27" customHeight="1" x14ac:dyDescent="0.25">
      <c r="A112" s="197">
        <v>1</v>
      </c>
      <c r="B112" s="203" t="s">
        <v>304</v>
      </c>
      <c r="C112" s="155"/>
      <c r="D112" s="182">
        <f t="shared" si="46"/>
        <v>462.99200000000002</v>
      </c>
      <c r="E112" s="30">
        <v>462.99200000000002</v>
      </c>
      <c r="F112" s="93"/>
      <c r="G112" s="30">
        <f>SUM(G113:G115)</f>
        <v>462.99200000000002</v>
      </c>
      <c r="H112" s="30">
        <f t="shared" ref="H112:J112" si="68">SUM(H113:H115)</f>
        <v>185.19680000000002</v>
      </c>
      <c r="I112" s="30">
        <f t="shared" si="68"/>
        <v>138.89760000000001</v>
      </c>
      <c r="J112" s="30">
        <f t="shared" si="68"/>
        <v>138.89760000000001</v>
      </c>
      <c r="K112" s="157"/>
    </row>
    <row r="113" spans="1:11" ht="45.75" customHeight="1" x14ac:dyDescent="0.25">
      <c r="A113" s="198" t="s">
        <v>26</v>
      </c>
      <c r="B113" s="204" t="s">
        <v>396</v>
      </c>
      <c r="C113" s="53" t="s">
        <v>397</v>
      </c>
      <c r="D113" s="183">
        <f t="shared" si="46"/>
        <v>223.99600000000001</v>
      </c>
      <c r="E113" s="45">
        <v>223.99600000000001</v>
      </c>
      <c r="F113" s="94"/>
      <c r="G113" s="45">
        <f>226*0.991+0.03</f>
        <v>223.99600000000001</v>
      </c>
      <c r="H113" s="45">
        <f t="shared" ref="H113:H115" si="69">G113*40%</f>
        <v>89.598400000000012</v>
      </c>
      <c r="I113" s="45">
        <f t="shared" ref="I113:I115" si="70">G113*30%</f>
        <v>67.198800000000006</v>
      </c>
      <c r="J113" s="45">
        <f t="shared" ref="J113:J115" si="71">G113*30%</f>
        <v>67.198800000000006</v>
      </c>
      <c r="K113" s="168"/>
    </row>
    <row r="114" spans="1:11" ht="63.75" customHeight="1" x14ac:dyDescent="0.25">
      <c r="A114" s="198" t="s">
        <v>26</v>
      </c>
      <c r="B114" s="204" t="s">
        <v>398</v>
      </c>
      <c r="C114" s="53" t="s">
        <v>399</v>
      </c>
      <c r="D114" s="183">
        <f t="shared" si="46"/>
        <v>154.99600000000001</v>
      </c>
      <c r="E114" s="45">
        <v>154.99600000000001</v>
      </c>
      <c r="F114" s="94"/>
      <c r="G114" s="45">
        <f>156*0.991+0.4</f>
        <v>154.99600000000001</v>
      </c>
      <c r="H114" s="45">
        <f t="shared" si="69"/>
        <v>61.998400000000004</v>
      </c>
      <c r="I114" s="45">
        <f t="shared" si="70"/>
        <v>46.498800000000003</v>
      </c>
      <c r="J114" s="45">
        <f t="shared" si="71"/>
        <v>46.498800000000003</v>
      </c>
      <c r="K114" s="168"/>
    </row>
    <row r="115" spans="1:11" ht="41.25" customHeight="1" x14ac:dyDescent="0.25">
      <c r="A115" s="198" t="s">
        <v>26</v>
      </c>
      <c r="B115" s="204" t="s">
        <v>400</v>
      </c>
      <c r="C115" s="53" t="s">
        <v>401</v>
      </c>
      <c r="D115" s="183">
        <f t="shared" si="46"/>
        <v>84</v>
      </c>
      <c r="E115" s="45">
        <v>84</v>
      </c>
      <c r="F115" s="94"/>
      <c r="G115" s="45">
        <f>125*0.668+0.5</f>
        <v>84</v>
      </c>
      <c r="H115" s="45">
        <f t="shared" si="69"/>
        <v>33.6</v>
      </c>
      <c r="I115" s="45">
        <f t="shared" si="70"/>
        <v>25.2</v>
      </c>
      <c r="J115" s="45">
        <f t="shared" si="71"/>
        <v>25.2</v>
      </c>
      <c r="K115" s="168"/>
    </row>
    <row r="116" spans="1:11" s="5" customFormat="1" ht="20.25" customHeight="1" x14ac:dyDescent="0.25">
      <c r="A116" s="197">
        <v>2</v>
      </c>
      <c r="B116" s="203" t="s">
        <v>36</v>
      </c>
      <c r="C116" s="155"/>
      <c r="D116" s="182">
        <f t="shared" si="46"/>
        <v>790</v>
      </c>
      <c r="E116" s="30">
        <v>790</v>
      </c>
      <c r="F116" s="93"/>
      <c r="G116" s="30">
        <f>SUM(G117:G119)</f>
        <v>790</v>
      </c>
      <c r="H116" s="30">
        <f t="shared" ref="H116:J116" si="72">SUM(H117:H119)</f>
        <v>498</v>
      </c>
      <c r="I116" s="30">
        <f t="shared" si="72"/>
        <v>158</v>
      </c>
      <c r="J116" s="30">
        <f t="shared" si="72"/>
        <v>134</v>
      </c>
      <c r="K116" s="157"/>
    </row>
    <row r="117" spans="1:11" ht="40.5" customHeight="1" x14ac:dyDescent="0.25">
      <c r="A117" s="198" t="s">
        <v>26</v>
      </c>
      <c r="B117" s="204" t="s">
        <v>402</v>
      </c>
      <c r="C117" s="53" t="s">
        <v>355</v>
      </c>
      <c r="D117" s="183">
        <f t="shared" si="46"/>
        <v>240</v>
      </c>
      <c r="E117" s="45">
        <v>240</v>
      </c>
      <c r="F117" s="94"/>
      <c r="G117" s="45">
        <v>240</v>
      </c>
      <c r="H117" s="55">
        <f t="shared" ref="H117" si="73">G117*70%</f>
        <v>168</v>
      </c>
      <c r="I117" s="45">
        <f t="shared" ref="I117:I119" si="74">G117*20%</f>
        <v>48</v>
      </c>
      <c r="J117" s="55">
        <f t="shared" ref="J117" si="75">G117-H117-I117</f>
        <v>24</v>
      </c>
      <c r="K117" s="168"/>
    </row>
    <row r="118" spans="1:11" ht="40.5" customHeight="1" x14ac:dyDescent="0.25">
      <c r="A118" s="198" t="s">
        <v>26</v>
      </c>
      <c r="B118" s="204" t="s">
        <v>403</v>
      </c>
      <c r="C118" s="53" t="s">
        <v>355</v>
      </c>
      <c r="D118" s="183">
        <f t="shared" si="46"/>
        <v>300</v>
      </c>
      <c r="E118" s="45">
        <v>300</v>
      </c>
      <c r="F118" s="94"/>
      <c r="G118" s="45">
        <v>300</v>
      </c>
      <c r="H118" s="45">
        <f t="shared" ref="H118:H119" si="76">G118*60%</f>
        <v>180</v>
      </c>
      <c r="I118" s="45">
        <f t="shared" si="74"/>
        <v>60</v>
      </c>
      <c r="J118" s="45">
        <f t="shared" ref="J118:J119" si="77">G118*20%</f>
        <v>60</v>
      </c>
      <c r="K118" s="168"/>
    </row>
    <row r="119" spans="1:11" ht="40.5" customHeight="1" x14ac:dyDescent="0.25">
      <c r="A119" s="198" t="s">
        <v>26</v>
      </c>
      <c r="B119" s="204" t="s">
        <v>404</v>
      </c>
      <c r="C119" s="53" t="s">
        <v>355</v>
      </c>
      <c r="D119" s="183">
        <f t="shared" si="46"/>
        <v>250</v>
      </c>
      <c r="E119" s="45">
        <v>250</v>
      </c>
      <c r="F119" s="94"/>
      <c r="G119" s="45">
        <v>250</v>
      </c>
      <c r="H119" s="45">
        <f t="shared" si="76"/>
        <v>150</v>
      </c>
      <c r="I119" s="45">
        <f t="shared" si="74"/>
        <v>50</v>
      </c>
      <c r="J119" s="45">
        <f t="shared" si="77"/>
        <v>50</v>
      </c>
      <c r="K119" s="168"/>
    </row>
    <row r="120" spans="1:11" s="5" customFormat="1" ht="21.75" customHeight="1" x14ac:dyDescent="0.25">
      <c r="A120" s="197">
        <v>3</v>
      </c>
      <c r="B120" s="203" t="s">
        <v>63</v>
      </c>
      <c r="C120" s="155"/>
      <c r="D120" s="182">
        <f t="shared" si="46"/>
        <v>130</v>
      </c>
      <c r="E120" s="30">
        <v>130</v>
      </c>
      <c r="F120" s="93"/>
      <c r="G120" s="30">
        <f>G121</f>
        <v>130</v>
      </c>
      <c r="H120" s="30">
        <f t="shared" ref="H120:J120" si="78">H121</f>
        <v>91</v>
      </c>
      <c r="I120" s="30">
        <f t="shared" si="78"/>
        <v>19.5</v>
      </c>
      <c r="J120" s="30">
        <f t="shared" si="78"/>
        <v>19.5</v>
      </c>
      <c r="K120" s="157"/>
    </row>
    <row r="121" spans="1:11" ht="42" customHeight="1" x14ac:dyDescent="0.25">
      <c r="A121" s="198" t="s">
        <v>26</v>
      </c>
      <c r="B121" s="204" t="s">
        <v>405</v>
      </c>
      <c r="C121" s="53" t="s">
        <v>355</v>
      </c>
      <c r="D121" s="183">
        <f t="shared" si="46"/>
        <v>130</v>
      </c>
      <c r="E121" s="45">
        <v>130</v>
      </c>
      <c r="F121" s="94"/>
      <c r="G121" s="45">
        <v>130</v>
      </c>
      <c r="H121" s="45">
        <f>G121*70%</f>
        <v>91</v>
      </c>
      <c r="I121" s="45">
        <f>G121*15%</f>
        <v>19.5</v>
      </c>
      <c r="J121" s="45">
        <f>G121*15%</f>
        <v>19.5</v>
      </c>
      <c r="K121" s="168"/>
    </row>
    <row r="122" spans="1:11" s="173" customFormat="1" ht="25.5" customHeight="1" x14ac:dyDescent="0.25">
      <c r="A122" s="201" t="s">
        <v>115</v>
      </c>
      <c r="B122" s="213" t="s">
        <v>69</v>
      </c>
      <c r="C122" s="135"/>
      <c r="D122" s="185">
        <f t="shared" si="46"/>
        <v>1478</v>
      </c>
      <c r="E122" s="136">
        <v>1478</v>
      </c>
      <c r="F122" s="143"/>
      <c r="G122" s="136">
        <f>G123+G127+G130</f>
        <v>1478</v>
      </c>
      <c r="H122" s="136">
        <f t="shared" ref="H122:J122" si="79">H123+H127+H130</f>
        <v>887.2</v>
      </c>
      <c r="I122" s="136">
        <f t="shared" si="79"/>
        <v>302.89999999999998</v>
      </c>
      <c r="J122" s="136">
        <f t="shared" si="79"/>
        <v>287.89999999999998</v>
      </c>
      <c r="K122" s="172"/>
    </row>
    <row r="123" spans="1:11" s="5" customFormat="1" ht="25.5" customHeight="1" x14ac:dyDescent="0.25">
      <c r="A123" s="197">
        <v>1</v>
      </c>
      <c r="B123" s="203" t="s">
        <v>406</v>
      </c>
      <c r="C123" s="155" t="s">
        <v>25</v>
      </c>
      <c r="D123" s="182">
        <f t="shared" si="46"/>
        <v>448</v>
      </c>
      <c r="E123" s="30">
        <v>448</v>
      </c>
      <c r="F123" s="93"/>
      <c r="G123" s="30">
        <f>SUM(G124:G126)</f>
        <v>448</v>
      </c>
      <c r="H123" s="30">
        <f t="shared" ref="H123:J123" si="80">SUM(H124:H126)</f>
        <v>179.20000000000002</v>
      </c>
      <c r="I123" s="30">
        <f t="shared" si="80"/>
        <v>134.39999999999998</v>
      </c>
      <c r="J123" s="30">
        <f t="shared" si="80"/>
        <v>134.39999999999998</v>
      </c>
      <c r="K123" s="157"/>
    </row>
    <row r="124" spans="1:11" ht="54.75" customHeight="1" x14ac:dyDescent="0.25">
      <c r="A124" s="198" t="s">
        <v>26</v>
      </c>
      <c r="B124" s="204" t="s">
        <v>407</v>
      </c>
      <c r="C124" s="53">
        <v>0.14000000000000001</v>
      </c>
      <c r="D124" s="183">
        <f t="shared" si="46"/>
        <v>139</v>
      </c>
      <c r="E124" s="45">
        <v>139</v>
      </c>
      <c r="F124" s="94"/>
      <c r="G124" s="45">
        <f>C124*991+0.26</f>
        <v>139</v>
      </c>
      <c r="H124" s="45">
        <f>G124*40%</f>
        <v>55.6</v>
      </c>
      <c r="I124" s="45">
        <f>G124*30%</f>
        <v>41.699999999999996</v>
      </c>
      <c r="J124" s="45">
        <f>G124*30%</f>
        <v>41.699999999999996</v>
      </c>
      <c r="K124" s="168"/>
    </row>
    <row r="125" spans="1:11" ht="54.75" customHeight="1" x14ac:dyDescent="0.25">
      <c r="A125" s="198" t="s">
        <v>26</v>
      </c>
      <c r="B125" s="204" t="s">
        <v>408</v>
      </c>
      <c r="C125" s="53">
        <v>0.09</v>
      </c>
      <c r="D125" s="183">
        <f t="shared" si="46"/>
        <v>90</v>
      </c>
      <c r="E125" s="45">
        <v>90</v>
      </c>
      <c r="F125" s="94"/>
      <c r="G125" s="45">
        <f>C125*991+0.81</f>
        <v>90</v>
      </c>
      <c r="H125" s="45">
        <f t="shared" ref="H125:H126" si="81">G125*40%</f>
        <v>36</v>
      </c>
      <c r="I125" s="45">
        <f t="shared" ref="I125:I126" si="82">G125*30%</f>
        <v>27</v>
      </c>
      <c r="J125" s="45">
        <f t="shared" ref="J125:J126" si="83">G125*30%</f>
        <v>27</v>
      </c>
      <c r="K125" s="168"/>
    </row>
    <row r="126" spans="1:11" ht="54.75" customHeight="1" x14ac:dyDescent="0.25">
      <c r="A126" s="198" t="s">
        <v>26</v>
      </c>
      <c r="B126" s="204" t="s">
        <v>409</v>
      </c>
      <c r="C126" s="53">
        <v>0.12</v>
      </c>
      <c r="D126" s="183">
        <f t="shared" si="46"/>
        <v>219.00000000000003</v>
      </c>
      <c r="E126" s="45">
        <v>219.00000000000003</v>
      </c>
      <c r="F126" s="94"/>
      <c r="G126" s="45">
        <f>C126*991+100+0.08</f>
        <v>219.00000000000003</v>
      </c>
      <c r="H126" s="45">
        <f t="shared" si="81"/>
        <v>87.600000000000023</v>
      </c>
      <c r="I126" s="45">
        <f t="shared" si="82"/>
        <v>65.7</v>
      </c>
      <c r="J126" s="45">
        <f t="shared" si="83"/>
        <v>65.7</v>
      </c>
      <c r="K126" s="168"/>
    </row>
    <row r="127" spans="1:11" s="5" customFormat="1" ht="29.25" customHeight="1" x14ac:dyDescent="0.25">
      <c r="A127" s="197">
        <v>2</v>
      </c>
      <c r="B127" s="203" t="s">
        <v>36</v>
      </c>
      <c r="C127" s="155"/>
      <c r="D127" s="182">
        <f t="shared" si="46"/>
        <v>280</v>
      </c>
      <c r="E127" s="30">
        <v>280</v>
      </c>
      <c r="F127" s="93"/>
      <c r="G127" s="30">
        <f>G128+G129</f>
        <v>280</v>
      </c>
      <c r="H127" s="30">
        <f t="shared" ref="H127:J127" si="84">H128+H129</f>
        <v>183</v>
      </c>
      <c r="I127" s="30">
        <f t="shared" si="84"/>
        <v>56</v>
      </c>
      <c r="J127" s="30">
        <f t="shared" si="84"/>
        <v>41</v>
      </c>
      <c r="K127" s="157"/>
    </row>
    <row r="128" spans="1:11" ht="45.75" customHeight="1" x14ac:dyDescent="0.25">
      <c r="A128" s="198" t="s">
        <v>26</v>
      </c>
      <c r="B128" s="204" t="s">
        <v>410</v>
      </c>
      <c r="C128" s="53" t="s">
        <v>411</v>
      </c>
      <c r="D128" s="183">
        <f t="shared" si="46"/>
        <v>130</v>
      </c>
      <c r="E128" s="45">
        <v>130</v>
      </c>
      <c r="F128" s="94"/>
      <c r="G128" s="45">
        <v>130</v>
      </c>
      <c r="H128" s="45">
        <f>G128*60%</f>
        <v>78</v>
      </c>
      <c r="I128" s="45">
        <f>G128*20%</f>
        <v>26</v>
      </c>
      <c r="J128" s="45">
        <f>G128*20%</f>
        <v>26</v>
      </c>
      <c r="K128" s="168"/>
    </row>
    <row r="129" spans="1:11" ht="51.75" customHeight="1" x14ac:dyDescent="0.25">
      <c r="A129" s="198" t="s">
        <v>26</v>
      </c>
      <c r="B129" s="204" t="s">
        <v>412</v>
      </c>
      <c r="C129" s="53" t="s">
        <v>39</v>
      </c>
      <c r="D129" s="183">
        <f t="shared" si="46"/>
        <v>150</v>
      </c>
      <c r="E129" s="45">
        <v>150</v>
      </c>
      <c r="F129" s="94"/>
      <c r="G129" s="45">
        <v>150</v>
      </c>
      <c r="H129" s="45">
        <f>G129*70%</f>
        <v>105</v>
      </c>
      <c r="I129" s="45">
        <f>G129*20%</f>
        <v>30</v>
      </c>
      <c r="J129" s="45">
        <f>G129*10%</f>
        <v>15</v>
      </c>
      <c r="K129" s="168"/>
    </row>
    <row r="130" spans="1:11" s="5" customFormat="1" ht="27.75" customHeight="1" x14ac:dyDescent="0.25">
      <c r="A130" s="197">
        <v>3</v>
      </c>
      <c r="B130" s="203" t="s">
        <v>63</v>
      </c>
      <c r="C130" s="155"/>
      <c r="D130" s="182">
        <f t="shared" si="46"/>
        <v>750</v>
      </c>
      <c r="E130" s="30">
        <v>750</v>
      </c>
      <c r="F130" s="93"/>
      <c r="G130" s="30">
        <f>G131</f>
        <v>750</v>
      </c>
      <c r="H130" s="30">
        <f t="shared" ref="H130:J130" si="85">H131</f>
        <v>525</v>
      </c>
      <c r="I130" s="30">
        <f t="shared" si="85"/>
        <v>112.5</v>
      </c>
      <c r="J130" s="30">
        <f t="shared" si="85"/>
        <v>112.5</v>
      </c>
      <c r="K130" s="157"/>
    </row>
    <row r="131" spans="1:11" ht="27.75" customHeight="1" x14ac:dyDescent="0.25">
      <c r="A131" s="198" t="s">
        <v>26</v>
      </c>
      <c r="B131" s="204" t="s">
        <v>413</v>
      </c>
      <c r="C131" s="53" t="s">
        <v>414</v>
      </c>
      <c r="D131" s="183">
        <f t="shared" si="46"/>
        <v>750</v>
      </c>
      <c r="E131" s="45">
        <v>750</v>
      </c>
      <c r="F131" s="94"/>
      <c r="G131" s="45">
        <v>750</v>
      </c>
      <c r="H131" s="45">
        <f>G131*70%</f>
        <v>525</v>
      </c>
      <c r="I131" s="45">
        <f>G131*15%</f>
        <v>112.5</v>
      </c>
      <c r="J131" s="45">
        <f>G131*15%</f>
        <v>112.5</v>
      </c>
      <c r="K131" s="168"/>
    </row>
    <row r="132" spans="1:11" s="173" customFormat="1" ht="24.75" customHeight="1" x14ac:dyDescent="0.25">
      <c r="A132" s="201" t="s">
        <v>127</v>
      </c>
      <c r="B132" s="213" t="s">
        <v>21</v>
      </c>
      <c r="C132" s="135"/>
      <c r="D132" s="185">
        <f t="shared" si="46"/>
        <v>1736.682</v>
      </c>
      <c r="E132" s="136">
        <v>1736.682</v>
      </c>
      <c r="F132" s="143"/>
      <c r="G132" s="136">
        <f>G133+G137+G141</f>
        <v>1736.682</v>
      </c>
      <c r="H132" s="136">
        <f t="shared" ref="H132:J132" si="86">H133+H137+H141</f>
        <v>1005.8727999999999</v>
      </c>
      <c r="I132" s="136">
        <f t="shared" si="86"/>
        <v>450.80459999999999</v>
      </c>
      <c r="J132" s="136">
        <f t="shared" si="86"/>
        <v>280.00459999999998</v>
      </c>
      <c r="K132" s="172"/>
    </row>
    <row r="133" spans="1:11" s="5" customFormat="1" ht="24.75" customHeight="1" x14ac:dyDescent="0.25">
      <c r="A133" s="197">
        <v>1</v>
      </c>
      <c r="B133" s="203" t="s">
        <v>304</v>
      </c>
      <c r="C133" s="155"/>
      <c r="D133" s="182">
        <f t="shared" si="46"/>
        <v>607.68200000000002</v>
      </c>
      <c r="E133" s="30">
        <v>607.68200000000002</v>
      </c>
      <c r="F133" s="93"/>
      <c r="G133" s="30">
        <f>SUM(G134:G136)</f>
        <v>607.68200000000002</v>
      </c>
      <c r="H133" s="30">
        <f t="shared" ref="H133:J133" si="87">SUM(H134:H136)</f>
        <v>243.07279999999997</v>
      </c>
      <c r="I133" s="30">
        <f t="shared" si="87"/>
        <v>182.30459999999999</v>
      </c>
      <c r="J133" s="30">
        <f t="shared" si="87"/>
        <v>182.30459999999999</v>
      </c>
      <c r="K133" s="157"/>
    </row>
    <row r="134" spans="1:11" ht="55.5" customHeight="1" x14ac:dyDescent="0.25">
      <c r="A134" s="198" t="s">
        <v>26</v>
      </c>
      <c r="B134" s="204" t="s">
        <v>415</v>
      </c>
      <c r="C134" s="53" t="s">
        <v>416</v>
      </c>
      <c r="D134" s="183">
        <f t="shared" si="46"/>
        <v>151.00200000000001</v>
      </c>
      <c r="E134" s="45">
        <v>151.00200000000001</v>
      </c>
      <c r="F134" s="94"/>
      <c r="G134" s="45">
        <f>152*0.991+0.37</f>
        <v>151.00200000000001</v>
      </c>
      <c r="H134" s="45">
        <f t="shared" ref="H134:H136" si="88">G134*40%</f>
        <v>60.400800000000004</v>
      </c>
      <c r="I134" s="45">
        <f t="shared" ref="I134:I136" si="89">G134*30%</f>
        <v>45.300600000000003</v>
      </c>
      <c r="J134" s="45">
        <f t="shared" ref="J134:J136" si="90">G134*30%</f>
        <v>45.300600000000003</v>
      </c>
      <c r="K134" s="168"/>
    </row>
    <row r="135" spans="1:11" ht="55.5" customHeight="1" x14ac:dyDescent="0.25">
      <c r="A135" s="198" t="s">
        <v>26</v>
      </c>
      <c r="B135" s="204" t="s">
        <v>417</v>
      </c>
      <c r="C135" s="53" t="s">
        <v>418</v>
      </c>
      <c r="D135" s="183">
        <f t="shared" si="46"/>
        <v>188.67999999999998</v>
      </c>
      <c r="E135" s="45">
        <v>188.67999999999998</v>
      </c>
      <c r="F135" s="94"/>
      <c r="G135" s="45">
        <f>190*0.991+0.39</f>
        <v>188.67999999999998</v>
      </c>
      <c r="H135" s="45">
        <f t="shared" si="88"/>
        <v>75.471999999999994</v>
      </c>
      <c r="I135" s="45">
        <f t="shared" si="89"/>
        <v>56.603999999999992</v>
      </c>
      <c r="J135" s="45">
        <f t="shared" si="90"/>
        <v>56.603999999999992</v>
      </c>
      <c r="K135" s="168"/>
    </row>
    <row r="136" spans="1:11" ht="55.5" customHeight="1" x14ac:dyDescent="0.25">
      <c r="A136" s="198" t="s">
        <v>26</v>
      </c>
      <c r="B136" s="210" t="s">
        <v>419</v>
      </c>
      <c r="C136" s="53" t="s">
        <v>420</v>
      </c>
      <c r="D136" s="183">
        <f t="shared" si="46"/>
        <v>268</v>
      </c>
      <c r="E136" s="45">
        <v>268</v>
      </c>
      <c r="F136" s="94"/>
      <c r="G136" s="45">
        <f>270*0.991+0.43</f>
        <v>268</v>
      </c>
      <c r="H136" s="45">
        <f t="shared" si="88"/>
        <v>107.2</v>
      </c>
      <c r="I136" s="45">
        <f t="shared" si="89"/>
        <v>80.399999999999991</v>
      </c>
      <c r="J136" s="45">
        <f t="shared" si="90"/>
        <v>80.399999999999991</v>
      </c>
      <c r="K136" s="168"/>
    </row>
    <row r="137" spans="1:11" s="5" customFormat="1" ht="24" customHeight="1" x14ac:dyDescent="0.25">
      <c r="A137" s="197">
        <v>2</v>
      </c>
      <c r="B137" s="203" t="s">
        <v>28</v>
      </c>
      <c r="C137" s="155"/>
      <c r="D137" s="182">
        <f t="shared" si="46"/>
        <v>854</v>
      </c>
      <c r="E137" s="30">
        <v>854</v>
      </c>
      <c r="F137" s="93"/>
      <c r="G137" s="30">
        <f>SUM(G138:G140)</f>
        <v>854</v>
      </c>
      <c r="H137" s="30">
        <f t="shared" ref="H137:J137" si="91">SUM(H138:H140)</f>
        <v>597.79999999999995</v>
      </c>
      <c r="I137" s="30">
        <f t="shared" si="91"/>
        <v>213.5</v>
      </c>
      <c r="J137" s="30">
        <f t="shared" si="91"/>
        <v>42.7</v>
      </c>
      <c r="K137" s="157"/>
    </row>
    <row r="138" spans="1:11" ht="45" customHeight="1" x14ac:dyDescent="0.25">
      <c r="A138" s="198" t="s">
        <v>26</v>
      </c>
      <c r="B138" s="204" t="s">
        <v>421</v>
      </c>
      <c r="C138" s="53" t="s">
        <v>422</v>
      </c>
      <c r="D138" s="183">
        <f t="shared" si="46"/>
        <v>360</v>
      </c>
      <c r="E138" s="45">
        <v>360</v>
      </c>
      <c r="F138" s="94"/>
      <c r="G138" s="45">
        <v>360</v>
      </c>
      <c r="H138" s="45">
        <f>G138*70%</f>
        <v>251.99999999999997</v>
      </c>
      <c r="I138" s="45">
        <f>G138*25%</f>
        <v>90</v>
      </c>
      <c r="J138" s="45">
        <f>G138*5%</f>
        <v>18</v>
      </c>
      <c r="K138" s="168"/>
    </row>
    <row r="139" spans="1:11" ht="45" customHeight="1" x14ac:dyDescent="0.25">
      <c r="A139" s="198" t="s">
        <v>26</v>
      </c>
      <c r="B139" s="204" t="s">
        <v>423</v>
      </c>
      <c r="C139" s="53" t="s">
        <v>424</v>
      </c>
      <c r="D139" s="183">
        <f t="shared" si="46"/>
        <v>294</v>
      </c>
      <c r="E139" s="45">
        <v>294</v>
      </c>
      <c r="F139" s="94"/>
      <c r="G139" s="45">
        <v>294</v>
      </c>
      <c r="H139" s="45">
        <f t="shared" ref="H139:H140" si="92">G139*70%</f>
        <v>205.79999999999998</v>
      </c>
      <c r="I139" s="45">
        <f t="shared" ref="I139:I140" si="93">G139*25%</f>
        <v>73.5</v>
      </c>
      <c r="J139" s="45">
        <f t="shared" ref="J139:J140" si="94">G139*5%</f>
        <v>14.700000000000001</v>
      </c>
      <c r="K139" s="168"/>
    </row>
    <row r="140" spans="1:11" ht="45" customHeight="1" x14ac:dyDescent="0.25">
      <c r="A140" s="198" t="s">
        <v>26</v>
      </c>
      <c r="B140" s="204" t="s">
        <v>425</v>
      </c>
      <c r="C140" s="53" t="s">
        <v>426</v>
      </c>
      <c r="D140" s="183">
        <f t="shared" si="46"/>
        <v>200</v>
      </c>
      <c r="E140" s="45">
        <v>200</v>
      </c>
      <c r="F140" s="94"/>
      <c r="G140" s="45">
        <v>200</v>
      </c>
      <c r="H140" s="45">
        <f t="shared" si="92"/>
        <v>140</v>
      </c>
      <c r="I140" s="45">
        <f t="shared" si="93"/>
        <v>50</v>
      </c>
      <c r="J140" s="45">
        <f t="shared" si="94"/>
        <v>10</v>
      </c>
      <c r="K140" s="168"/>
    </row>
    <row r="141" spans="1:11" s="5" customFormat="1" ht="25.5" customHeight="1" x14ac:dyDescent="0.25">
      <c r="A141" s="197">
        <v>3</v>
      </c>
      <c r="B141" s="203" t="s">
        <v>36</v>
      </c>
      <c r="C141" s="155"/>
      <c r="D141" s="182">
        <f t="shared" si="46"/>
        <v>275</v>
      </c>
      <c r="E141" s="30">
        <v>275</v>
      </c>
      <c r="F141" s="93"/>
      <c r="G141" s="30">
        <f>G142</f>
        <v>275</v>
      </c>
      <c r="H141" s="30">
        <f t="shared" ref="H141:J141" si="95">H142</f>
        <v>165</v>
      </c>
      <c r="I141" s="30">
        <f t="shared" si="95"/>
        <v>55</v>
      </c>
      <c r="J141" s="30">
        <f t="shared" si="95"/>
        <v>55</v>
      </c>
      <c r="K141" s="157"/>
    </row>
    <row r="142" spans="1:11" ht="47.25" x14ac:dyDescent="0.25">
      <c r="A142" s="198" t="s">
        <v>26</v>
      </c>
      <c r="B142" s="204" t="s">
        <v>427</v>
      </c>
      <c r="C142" s="53" t="s">
        <v>428</v>
      </c>
      <c r="D142" s="183">
        <f t="shared" si="46"/>
        <v>275</v>
      </c>
      <c r="E142" s="45">
        <v>275</v>
      </c>
      <c r="F142" s="94"/>
      <c r="G142" s="45">
        <v>275</v>
      </c>
      <c r="H142" s="45">
        <f>G142*60%</f>
        <v>165</v>
      </c>
      <c r="I142" s="45">
        <f>G142*20%</f>
        <v>55</v>
      </c>
      <c r="J142" s="45">
        <f>G142*20%</f>
        <v>55</v>
      </c>
      <c r="K142" s="168"/>
    </row>
    <row r="143" spans="1:11" s="173" customFormat="1" ht="25.5" customHeight="1" x14ac:dyDescent="0.25">
      <c r="A143" s="215" t="s">
        <v>143</v>
      </c>
      <c r="B143" s="216" t="s">
        <v>429</v>
      </c>
      <c r="C143" s="14"/>
      <c r="D143" s="185">
        <f>D144+D146+D152+D154</f>
        <v>5090</v>
      </c>
      <c r="E143" s="185">
        <f t="shared" ref="E143:F143" si="96">E144+E146+E152+E154</f>
        <v>1200</v>
      </c>
      <c r="F143" s="185">
        <f t="shared" si="96"/>
        <v>3890</v>
      </c>
      <c r="G143" s="185">
        <f t="shared" ref="G143:J143" si="97">G144+G146+G152+G154</f>
        <v>5090</v>
      </c>
      <c r="H143" s="185">
        <f t="shared" si="97"/>
        <v>3440</v>
      </c>
      <c r="I143" s="185">
        <f t="shared" si="97"/>
        <v>949.1</v>
      </c>
      <c r="J143" s="185">
        <f t="shared" si="97"/>
        <v>700.9</v>
      </c>
      <c r="K143" s="217"/>
    </row>
    <row r="144" spans="1:11" s="173" customFormat="1" ht="24.75" customHeight="1" x14ac:dyDescent="0.25">
      <c r="A144" s="201">
        <v>1</v>
      </c>
      <c r="B144" s="211" t="s">
        <v>65</v>
      </c>
      <c r="C144" s="135"/>
      <c r="D144" s="185">
        <f t="shared" ref="D144:D185" si="98">E144+F144</f>
        <v>320</v>
      </c>
      <c r="E144" s="136">
        <f>E145</f>
        <v>0</v>
      </c>
      <c r="F144" s="143">
        <f t="shared" ref="F144:J144" si="99">F145</f>
        <v>320</v>
      </c>
      <c r="G144" s="136">
        <f t="shared" si="99"/>
        <v>320</v>
      </c>
      <c r="H144" s="136">
        <f t="shared" si="99"/>
        <v>224</v>
      </c>
      <c r="I144" s="136">
        <f t="shared" si="99"/>
        <v>64</v>
      </c>
      <c r="J144" s="136">
        <f t="shared" si="99"/>
        <v>32</v>
      </c>
      <c r="K144" s="172"/>
    </row>
    <row r="145" spans="1:11" s="18" customFormat="1" ht="24.75" customHeight="1" x14ac:dyDescent="0.25">
      <c r="A145" s="199"/>
      <c r="B145" s="212" t="s">
        <v>447</v>
      </c>
      <c r="C145" s="117"/>
      <c r="D145" s="186">
        <f t="shared" si="98"/>
        <v>320</v>
      </c>
      <c r="E145" s="118"/>
      <c r="F145" s="162">
        <v>320</v>
      </c>
      <c r="G145" s="161">
        <v>320</v>
      </c>
      <c r="H145" s="162">
        <f>G145*70%</f>
        <v>224</v>
      </c>
      <c r="I145" s="162">
        <f>G145*20%</f>
        <v>64</v>
      </c>
      <c r="J145" s="162">
        <f>G145*10%</f>
        <v>32</v>
      </c>
      <c r="K145" s="174"/>
    </row>
    <row r="146" spans="1:11" s="5" customFormat="1" ht="25.5" customHeight="1" x14ac:dyDescent="0.25">
      <c r="A146" s="197">
        <v>2</v>
      </c>
      <c r="B146" s="203" t="s">
        <v>36</v>
      </c>
      <c r="C146" s="155"/>
      <c r="D146" s="182">
        <f t="shared" si="98"/>
        <v>2430</v>
      </c>
      <c r="E146" s="30">
        <f>SUM(E147:E151)</f>
        <v>1200</v>
      </c>
      <c r="F146" s="30">
        <f t="shared" ref="F146:J146" si="100">SUM(F147:F151)</f>
        <v>1230</v>
      </c>
      <c r="G146" s="30">
        <f t="shared" si="100"/>
        <v>2430</v>
      </c>
      <c r="H146" s="30">
        <f t="shared" si="100"/>
        <v>1578</v>
      </c>
      <c r="I146" s="30">
        <f t="shared" si="100"/>
        <v>486</v>
      </c>
      <c r="J146" s="30">
        <f t="shared" si="100"/>
        <v>366</v>
      </c>
      <c r="K146" s="157"/>
    </row>
    <row r="147" spans="1:11" ht="76.5" customHeight="1" x14ac:dyDescent="0.25">
      <c r="A147" s="198" t="s">
        <v>26</v>
      </c>
      <c r="B147" s="204" t="s">
        <v>430</v>
      </c>
      <c r="C147" s="53" t="s">
        <v>39</v>
      </c>
      <c r="D147" s="183">
        <f t="shared" si="98"/>
        <v>1200</v>
      </c>
      <c r="E147" s="45">
        <v>1200</v>
      </c>
      <c r="F147" s="94"/>
      <c r="G147" s="45">
        <v>1200</v>
      </c>
      <c r="H147" s="45">
        <f>(G147*70/100)</f>
        <v>840</v>
      </c>
      <c r="I147" s="45">
        <f>G147*20/100</f>
        <v>240</v>
      </c>
      <c r="J147" s="55">
        <f>G147*10/100</f>
        <v>120</v>
      </c>
      <c r="K147" s="168"/>
    </row>
    <row r="148" spans="1:11" s="18" customFormat="1" ht="50.25" customHeight="1" x14ac:dyDescent="0.25">
      <c r="A148" s="199"/>
      <c r="B148" s="212" t="s">
        <v>450</v>
      </c>
      <c r="C148" s="117"/>
      <c r="D148" s="186">
        <f t="shared" si="98"/>
        <v>430</v>
      </c>
      <c r="E148" s="118"/>
      <c r="F148" s="161">
        <v>430</v>
      </c>
      <c r="G148" s="161">
        <v>430</v>
      </c>
      <c r="H148" s="162">
        <f>G148*60%</f>
        <v>258</v>
      </c>
      <c r="I148" s="162">
        <f>G148*20%</f>
        <v>86</v>
      </c>
      <c r="J148" s="162">
        <f>G148*20%</f>
        <v>86</v>
      </c>
      <c r="K148" s="174"/>
    </row>
    <row r="149" spans="1:11" s="18" customFormat="1" ht="50.25" customHeight="1" x14ac:dyDescent="0.25">
      <c r="A149" s="199"/>
      <c r="B149" s="212" t="s">
        <v>451</v>
      </c>
      <c r="C149" s="117"/>
      <c r="D149" s="186">
        <f t="shared" si="98"/>
        <v>150</v>
      </c>
      <c r="E149" s="118"/>
      <c r="F149" s="161">
        <v>150</v>
      </c>
      <c r="G149" s="161">
        <v>150</v>
      </c>
      <c r="H149" s="162">
        <f t="shared" ref="H149:H151" si="101">G149*60%</f>
        <v>90</v>
      </c>
      <c r="I149" s="162">
        <f t="shared" ref="I149:I151" si="102">G149*20%</f>
        <v>30</v>
      </c>
      <c r="J149" s="162">
        <f t="shared" ref="J149:J151" si="103">G149*20%</f>
        <v>30</v>
      </c>
      <c r="K149" s="174"/>
    </row>
    <row r="150" spans="1:11" s="18" customFormat="1" ht="50.25" customHeight="1" x14ac:dyDescent="0.25">
      <c r="A150" s="199"/>
      <c r="B150" s="212" t="s">
        <v>452</v>
      </c>
      <c r="C150" s="117"/>
      <c r="D150" s="186">
        <f t="shared" si="98"/>
        <v>300</v>
      </c>
      <c r="E150" s="118"/>
      <c r="F150" s="161">
        <v>300</v>
      </c>
      <c r="G150" s="161">
        <v>300</v>
      </c>
      <c r="H150" s="162">
        <f t="shared" si="101"/>
        <v>180</v>
      </c>
      <c r="I150" s="162">
        <f t="shared" si="102"/>
        <v>60</v>
      </c>
      <c r="J150" s="162">
        <f t="shared" si="103"/>
        <v>60</v>
      </c>
      <c r="K150" s="174"/>
    </row>
    <row r="151" spans="1:11" s="18" customFormat="1" ht="50.25" customHeight="1" x14ac:dyDescent="0.25">
      <c r="A151" s="199"/>
      <c r="B151" s="212" t="s">
        <v>453</v>
      </c>
      <c r="C151" s="117"/>
      <c r="D151" s="186">
        <f t="shared" si="98"/>
        <v>350</v>
      </c>
      <c r="E151" s="118"/>
      <c r="F151" s="161">
        <v>350</v>
      </c>
      <c r="G151" s="161">
        <v>350</v>
      </c>
      <c r="H151" s="162">
        <f t="shared" si="101"/>
        <v>210</v>
      </c>
      <c r="I151" s="162">
        <f t="shared" si="102"/>
        <v>70</v>
      </c>
      <c r="J151" s="162">
        <f t="shared" si="103"/>
        <v>70</v>
      </c>
      <c r="K151" s="174"/>
    </row>
    <row r="152" spans="1:11" s="18" customFormat="1" ht="50.25" customHeight="1" x14ac:dyDescent="0.25">
      <c r="A152" s="199">
        <v>3</v>
      </c>
      <c r="B152" s="213" t="s">
        <v>448</v>
      </c>
      <c r="C152" s="117"/>
      <c r="D152" s="186">
        <f t="shared" si="98"/>
        <v>370</v>
      </c>
      <c r="E152" s="118"/>
      <c r="F152" s="163">
        <f>SUM(F153)</f>
        <v>370</v>
      </c>
      <c r="G152" s="163">
        <f>SUM(G153)</f>
        <v>370</v>
      </c>
      <c r="H152" s="163">
        <f t="shared" ref="H152:J152" si="104">SUM(H153)</f>
        <v>259</v>
      </c>
      <c r="I152" s="163">
        <f t="shared" si="104"/>
        <v>103.60000000000001</v>
      </c>
      <c r="J152" s="163">
        <f t="shared" si="104"/>
        <v>7.4</v>
      </c>
      <c r="K152" s="174"/>
    </row>
    <row r="153" spans="1:11" s="18" customFormat="1" ht="50.25" customHeight="1" x14ac:dyDescent="0.25">
      <c r="A153" s="199"/>
      <c r="B153" s="212" t="s">
        <v>449</v>
      </c>
      <c r="C153" s="117"/>
      <c r="D153" s="186">
        <f t="shared" si="98"/>
        <v>370</v>
      </c>
      <c r="E153" s="118"/>
      <c r="F153" s="161">
        <v>370</v>
      </c>
      <c r="G153" s="161">
        <v>370</v>
      </c>
      <c r="H153" s="162">
        <f>G153*70%</f>
        <v>259</v>
      </c>
      <c r="I153" s="162">
        <f>G153*28%</f>
        <v>103.60000000000001</v>
      </c>
      <c r="J153" s="162">
        <f>G153*2%</f>
        <v>7.4</v>
      </c>
      <c r="K153" s="174"/>
    </row>
    <row r="154" spans="1:11" s="173" customFormat="1" ht="50.25" customHeight="1" x14ac:dyDescent="0.25">
      <c r="A154" s="201">
        <v>4</v>
      </c>
      <c r="B154" s="213" t="s">
        <v>63</v>
      </c>
      <c r="C154" s="135"/>
      <c r="D154" s="185">
        <f t="shared" si="98"/>
        <v>1970</v>
      </c>
      <c r="E154" s="136"/>
      <c r="F154" s="163">
        <v>1970</v>
      </c>
      <c r="G154" s="163">
        <f>SUM(G155:G157)</f>
        <v>1970</v>
      </c>
      <c r="H154" s="163">
        <f t="shared" ref="H154:J154" si="105">SUM(H155:H157)</f>
        <v>1379</v>
      </c>
      <c r="I154" s="163">
        <f t="shared" si="105"/>
        <v>295.5</v>
      </c>
      <c r="J154" s="163">
        <f t="shared" si="105"/>
        <v>295.5</v>
      </c>
      <c r="K154" s="172"/>
    </row>
    <row r="155" spans="1:11" s="18" customFormat="1" ht="50.25" customHeight="1" x14ac:dyDescent="0.25">
      <c r="A155" s="199"/>
      <c r="B155" s="214" t="s">
        <v>454</v>
      </c>
      <c r="C155" s="117"/>
      <c r="D155" s="186">
        <f t="shared" si="98"/>
        <v>820</v>
      </c>
      <c r="E155" s="118"/>
      <c r="F155" s="161">
        <v>820</v>
      </c>
      <c r="G155" s="164">
        <v>820</v>
      </c>
      <c r="H155" s="165">
        <f>G155*70%</f>
        <v>574</v>
      </c>
      <c r="I155" s="165">
        <f>G155*15%</f>
        <v>123</v>
      </c>
      <c r="J155" s="165">
        <f>G155*15%</f>
        <v>123</v>
      </c>
      <c r="K155" s="174"/>
    </row>
    <row r="156" spans="1:11" s="18" customFormat="1" ht="50.25" customHeight="1" x14ac:dyDescent="0.25">
      <c r="A156" s="199"/>
      <c r="B156" s="212" t="s">
        <v>455</v>
      </c>
      <c r="C156" s="117"/>
      <c r="D156" s="186">
        <f t="shared" si="98"/>
        <v>550</v>
      </c>
      <c r="E156" s="118"/>
      <c r="F156" s="161">
        <v>550</v>
      </c>
      <c r="G156" s="161">
        <v>550</v>
      </c>
      <c r="H156" s="162">
        <f t="shared" ref="H156:H157" si="106">G156*70%</f>
        <v>385</v>
      </c>
      <c r="I156" s="162">
        <f t="shared" ref="I156:I157" si="107">G156*15%</f>
        <v>82.5</v>
      </c>
      <c r="J156" s="162">
        <f t="shared" ref="J156:J157" si="108">G156*15%</f>
        <v>82.5</v>
      </c>
      <c r="K156" s="174"/>
    </row>
    <row r="157" spans="1:11" s="18" customFormat="1" ht="50.25" customHeight="1" x14ac:dyDescent="0.25">
      <c r="A157" s="199"/>
      <c r="B157" s="212" t="s">
        <v>114</v>
      </c>
      <c r="C157" s="117"/>
      <c r="D157" s="186">
        <f t="shared" si="98"/>
        <v>600</v>
      </c>
      <c r="E157" s="118"/>
      <c r="F157" s="161">
        <v>600</v>
      </c>
      <c r="G157" s="161">
        <v>600</v>
      </c>
      <c r="H157" s="162">
        <f t="shared" si="106"/>
        <v>420</v>
      </c>
      <c r="I157" s="162">
        <f t="shared" si="107"/>
        <v>90</v>
      </c>
      <c r="J157" s="162">
        <f t="shared" si="108"/>
        <v>90</v>
      </c>
      <c r="K157" s="174"/>
    </row>
    <row r="158" spans="1:11" s="18" customFormat="1" ht="50.25" customHeight="1" x14ac:dyDescent="0.25">
      <c r="A158" s="199"/>
      <c r="B158" s="212"/>
      <c r="C158" s="117"/>
      <c r="D158" s="186">
        <f t="shared" si="98"/>
        <v>0</v>
      </c>
      <c r="E158" s="118"/>
      <c r="F158" s="161"/>
      <c r="G158" s="161"/>
      <c r="H158" s="162"/>
      <c r="I158" s="162"/>
      <c r="J158" s="162"/>
      <c r="K158" s="174"/>
    </row>
    <row r="159" spans="1:11" s="173" customFormat="1" ht="24.75" customHeight="1" x14ac:dyDescent="0.25">
      <c r="A159" s="201" t="s">
        <v>160</v>
      </c>
      <c r="B159" s="213" t="s">
        <v>116</v>
      </c>
      <c r="C159" s="135"/>
      <c r="D159" s="185">
        <f t="shared" si="98"/>
        <v>1990</v>
      </c>
      <c r="E159" s="136">
        <v>1990</v>
      </c>
      <c r="F159" s="143"/>
      <c r="G159" s="136">
        <f>G160+G163+G165</f>
        <v>1990</v>
      </c>
      <c r="H159" s="136">
        <f>H160+H163+H165</f>
        <v>1376</v>
      </c>
      <c r="I159" s="136">
        <f>I160+I163+I165</f>
        <v>449</v>
      </c>
      <c r="J159" s="136">
        <f>J160+J163+J165</f>
        <v>165</v>
      </c>
      <c r="K159" s="172"/>
    </row>
    <row r="160" spans="1:11" s="5" customFormat="1" ht="24.75" customHeight="1" x14ac:dyDescent="0.25">
      <c r="A160" s="197">
        <v>1</v>
      </c>
      <c r="B160" s="203" t="s">
        <v>36</v>
      </c>
      <c r="C160" s="155"/>
      <c r="D160" s="182">
        <f t="shared" si="98"/>
        <v>540</v>
      </c>
      <c r="E160" s="30">
        <v>540</v>
      </c>
      <c r="F160" s="93"/>
      <c r="G160" s="30">
        <f>G161+G162</f>
        <v>540</v>
      </c>
      <c r="H160" s="30">
        <f t="shared" ref="H160:J160" si="109">H161+H162</f>
        <v>361</v>
      </c>
      <c r="I160" s="30">
        <f t="shared" si="109"/>
        <v>108</v>
      </c>
      <c r="J160" s="30">
        <f t="shared" si="109"/>
        <v>71</v>
      </c>
      <c r="K160" s="157"/>
    </row>
    <row r="161" spans="1:11" ht="50.25" customHeight="1" x14ac:dyDescent="0.25">
      <c r="A161" s="198" t="s">
        <v>26</v>
      </c>
      <c r="B161" s="204" t="s">
        <v>431</v>
      </c>
      <c r="C161" s="53" t="s">
        <v>39</v>
      </c>
      <c r="D161" s="183">
        <f t="shared" si="98"/>
        <v>170</v>
      </c>
      <c r="E161" s="45">
        <v>170</v>
      </c>
      <c r="F161" s="94"/>
      <c r="G161" s="45">
        <v>170</v>
      </c>
      <c r="H161" s="45">
        <f>G161*60%</f>
        <v>102</v>
      </c>
      <c r="I161" s="45">
        <f>G161*20%</f>
        <v>34</v>
      </c>
      <c r="J161" s="45">
        <f>G161*20%</f>
        <v>34</v>
      </c>
      <c r="K161" s="168"/>
    </row>
    <row r="162" spans="1:11" ht="50.25" customHeight="1" x14ac:dyDescent="0.25">
      <c r="A162" s="198" t="s">
        <v>26</v>
      </c>
      <c r="B162" s="204" t="s">
        <v>432</v>
      </c>
      <c r="C162" s="53" t="s">
        <v>39</v>
      </c>
      <c r="D162" s="183">
        <f t="shared" si="98"/>
        <v>370</v>
      </c>
      <c r="E162" s="45">
        <v>370</v>
      </c>
      <c r="F162" s="94"/>
      <c r="G162" s="45">
        <v>370</v>
      </c>
      <c r="H162" s="45">
        <f>(G162*70/100)</f>
        <v>259</v>
      </c>
      <c r="I162" s="45">
        <f>G162*20/100</f>
        <v>74</v>
      </c>
      <c r="J162" s="55">
        <f>G162*10/100</f>
        <v>37</v>
      </c>
      <c r="K162" s="168"/>
    </row>
    <row r="163" spans="1:11" s="5" customFormat="1" ht="27" customHeight="1" x14ac:dyDescent="0.25">
      <c r="A163" s="197">
        <v>2</v>
      </c>
      <c r="B163" s="203" t="s">
        <v>433</v>
      </c>
      <c r="C163" s="175"/>
      <c r="D163" s="187">
        <f t="shared" si="98"/>
        <v>950</v>
      </c>
      <c r="E163" s="73">
        <v>950</v>
      </c>
      <c r="F163" s="176"/>
      <c r="G163" s="30">
        <f>G164</f>
        <v>950</v>
      </c>
      <c r="H163" s="30">
        <f t="shared" ref="H163:J163" si="110">H164</f>
        <v>665</v>
      </c>
      <c r="I163" s="30">
        <f t="shared" si="110"/>
        <v>266</v>
      </c>
      <c r="J163" s="30">
        <f t="shared" si="110"/>
        <v>19</v>
      </c>
      <c r="K163" s="157"/>
    </row>
    <row r="164" spans="1:11" ht="40.5" customHeight="1" x14ac:dyDescent="0.25">
      <c r="A164" s="198" t="s">
        <v>26</v>
      </c>
      <c r="B164" s="204" t="s">
        <v>434</v>
      </c>
      <c r="C164" s="53" t="s">
        <v>39</v>
      </c>
      <c r="D164" s="183">
        <f t="shared" si="98"/>
        <v>950</v>
      </c>
      <c r="E164" s="77">
        <v>950</v>
      </c>
      <c r="F164" s="177"/>
      <c r="G164" s="45">
        <v>950</v>
      </c>
      <c r="H164" s="45">
        <f>G164*70%</f>
        <v>665</v>
      </c>
      <c r="I164" s="45">
        <f>G164*28%</f>
        <v>266</v>
      </c>
      <c r="J164" s="45">
        <f>G164*2%</f>
        <v>19</v>
      </c>
      <c r="K164" s="168"/>
    </row>
    <row r="165" spans="1:11" s="5" customFormat="1" ht="27" customHeight="1" x14ac:dyDescent="0.25">
      <c r="A165" s="197">
        <v>3</v>
      </c>
      <c r="B165" s="203" t="s">
        <v>63</v>
      </c>
      <c r="C165" s="155"/>
      <c r="D165" s="182">
        <f t="shared" si="98"/>
        <v>500</v>
      </c>
      <c r="E165" s="30">
        <v>500</v>
      </c>
      <c r="F165" s="93"/>
      <c r="G165" s="30">
        <f>G166</f>
        <v>500</v>
      </c>
      <c r="H165" s="30">
        <f t="shared" ref="H165:J165" si="111">H166</f>
        <v>350</v>
      </c>
      <c r="I165" s="30">
        <f t="shared" si="111"/>
        <v>75</v>
      </c>
      <c r="J165" s="30">
        <f t="shared" si="111"/>
        <v>75</v>
      </c>
      <c r="K165" s="157"/>
    </row>
    <row r="166" spans="1:11" ht="27" customHeight="1" x14ac:dyDescent="0.25">
      <c r="A166" s="198" t="s">
        <v>26</v>
      </c>
      <c r="B166" s="204" t="s">
        <v>435</v>
      </c>
      <c r="C166" s="53" t="s">
        <v>39</v>
      </c>
      <c r="D166" s="183">
        <f t="shared" si="98"/>
        <v>500</v>
      </c>
      <c r="E166" s="45">
        <v>500</v>
      </c>
      <c r="F166" s="94"/>
      <c r="G166" s="45">
        <v>500</v>
      </c>
      <c r="H166" s="45">
        <f>G166*70%</f>
        <v>350</v>
      </c>
      <c r="I166" s="45">
        <f>G166*15%</f>
        <v>75</v>
      </c>
      <c r="J166" s="45">
        <f>G166*15%</f>
        <v>75</v>
      </c>
      <c r="K166" s="168"/>
    </row>
    <row r="167" spans="1:11" s="173" customFormat="1" ht="30" customHeight="1" x14ac:dyDescent="0.25">
      <c r="A167" s="201" t="s">
        <v>175</v>
      </c>
      <c r="B167" s="213" t="s">
        <v>41</v>
      </c>
      <c r="C167" s="135"/>
      <c r="D167" s="185">
        <f t="shared" si="98"/>
        <v>1560</v>
      </c>
      <c r="E167" s="136">
        <v>1560</v>
      </c>
      <c r="F167" s="143"/>
      <c r="G167" s="136">
        <f>G168+G170+G172+G174</f>
        <v>1560</v>
      </c>
      <c r="H167" s="136">
        <f t="shared" ref="H167:J167" si="112">H168+H170+H172+H174</f>
        <v>1032</v>
      </c>
      <c r="I167" s="136">
        <f t="shared" si="112"/>
        <v>341</v>
      </c>
      <c r="J167" s="136">
        <f t="shared" si="112"/>
        <v>187</v>
      </c>
      <c r="K167" s="172"/>
    </row>
    <row r="168" spans="1:11" s="5" customFormat="1" ht="30" customHeight="1" x14ac:dyDescent="0.25">
      <c r="A168" s="197">
        <v>1</v>
      </c>
      <c r="B168" s="203" t="s">
        <v>436</v>
      </c>
      <c r="C168" s="155"/>
      <c r="D168" s="182">
        <f t="shared" si="98"/>
        <v>180</v>
      </c>
      <c r="E168" s="30">
        <v>180</v>
      </c>
      <c r="F168" s="93"/>
      <c r="G168" s="30">
        <f>G169</f>
        <v>180</v>
      </c>
      <c r="H168" s="30">
        <f t="shared" ref="H168:J168" si="113">H169</f>
        <v>72</v>
      </c>
      <c r="I168" s="30">
        <f t="shared" si="113"/>
        <v>54</v>
      </c>
      <c r="J168" s="30">
        <f t="shared" si="113"/>
        <v>54</v>
      </c>
      <c r="K168" s="157"/>
    </row>
    <row r="169" spans="1:11" s="5" customFormat="1" ht="51" customHeight="1" x14ac:dyDescent="0.25">
      <c r="A169" s="197" t="s">
        <v>26</v>
      </c>
      <c r="B169" s="204" t="s">
        <v>437</v>
      </c>
      <c r="C169" s="53" t="s">
        <v>438</v>
      </c>
      <c r="D169" s="183">
        <f t="shared" si="98"/>
        <v>180</v>
      </c>
      <c r="E169" s="45">
        <v>180</v>
      </c>
      <c r="F169" s="94"/>
      <c r="G169" s="45">
        <v>180</v>
      </c>
      <c r="H169" s="45">
        <f>G169*40%</f>
        <v>72</v>
      </c>
      <c r="I169" s="45">
        <f>G169*30%</f>
        <v>54</v>
      </c>
      <c r="J169" s="45">
        <f>G169*30%</f>
        <v>54</v>
      </c>
      <c r="K169" s="168"/>
    </row>
    <row r="170" spans="1:11" s="5" customFormat="1" ht="29.25" customHeight="1" x14ac:dyDescent="0.25">
      <c r="A170" s="197">
        <v>2</v>
      </c>
      <c r="B170" s="203" t="s">
        <v>28</v>
      </c>
      <c r="C170" s="155"/>
      <c r="D170" s="182">
        <f t="shared" si="98"/>
        <v>220</v>
      </c>
      <c r="E170" s="30">
        <v>220</v>
      </c>
      <c r="F170" s="93"/>
      <c r="G170" s="30">
        <f>G171</f>
        <v>220</v>
      </c>
      <c r="H170" s="30">
        <f t="shared" ref="H170:J170" si="114">H171</f>
        <v>154</v>
      </c>
      <c r="I170" s="30">
        <f t="shared" si="114"/>
        <v>55</v>
      </c>
      <c r="J170" s="30">
        <f t="shared" si="114"/>
        <v>11</v>
      </c>
      <c r="K170" s="157"/>
    </row>
    <row r="171" spans="1:11" s="5" customFormat="1" ht="50.25" customHeight="1" x14ac:dyDescent="0.25">
      <c r="A171" s="197" t="s">
        <v>26</v>
      </c>
      <c r="B171" s="204" t="s">
        <v>439</v>
      </c>
      <c r="C171" s="53" t="s">
        <v>39</v>
      </c>
      <c r="D171" s="183">
        <f t="shared" si="98"/>
        <v>220</v>
      </c>
      <c r="E171" s="45">
        <v>220</v>
      </c>
      <c r="F171" s="94"/>
      <c r="G171" s="45">
        <v>220</v>
      </c>
      <c r="H171" s="45">
        <f>G171*70%</f>
        <v>154</v>
      </c>
      <c r="I171" s="45">
        <f>G171*25%</f>
        <v>55</v>
      </c>
      <c r="J171" s="45">
        <f>G171*5%</f>
        <v>11</v>
      </c>
      <c r="K171" s="168"/>
    </row>
    <row r="172" spans="1:11" s="5" customFormat="1" ht="26.25" customHeight="1" x14ac:dyDescent="0.25">
      <c r="A172" s="197">
        <v>3</v>
      </c>
      <c r="B172" s="203" t="s">
        <v>36</v>
      </c>
      <c r="C172" s="155"/>
      <c r="D172" s="182">
        <f t="shared" si="98"/>
        <v>60</v>
      </c>
      <c r="E172" s="30">
        <v>60</v>
      </c>
      <c r="F172" s="93"/>
      <c r="G172" s="30">
        <f>SUM(G173:G173)</f>
        <v>60</v>
      </c>
      <c r="H172" s="30">
        <f t="shared" ref="H172:J172" si="115">SUM(H173:H173)</f>
        <v>36</v>
      </c>
      <c r="I172" s="30">
        <f t="shared" si="115"/>
        <v>12</v>
      </c>
      <c r="J172" s="30">
        <f t="shared" si="115"/>
        <v>12</v>
      </c>
      <c r="K172" s="157"/>
    </row>
    <row r="173" spans="1:11" s="5" customFormat="1" ht="42" customHeight="1" x14ac:dyDescent="0.25">
      <c r="A173" s="197" t="s">
        <v>26</v>
      </c>
      <c r="B173" s="204" t="s">
        <v>440</v>
      </c>
      <c r="C173" s="53" t="s">
        <v>39</v>
      </c>
      <c r="D173" s="183">
        <f t="shared" si="98"/>
        <v>60</v>
      </c>
      <c r="E173" s="45">
        <v>60</v>
      </c>
      <c r="F173" s="94"/>
      <c r="G173" s="45">
        <f>SUM(H173:J173)</f>
        <v>60</v>
      </c>
      <c r="H173" s="45">
        <f>60*60%</f>
        <v>36</v>
      </c>
      <c r="I173" s="45">
        <f>60*20%</f>
        <v>12</v>
      </c>
      <c r="J173" s="45">
        <f>60*20%</f>
        <v>12</v>
      </c>
      <c r="K173" s="168"/>
    </row>
    <row r="174" spans="1:11" s="5" customFormat="1" ht="42" customHeight="1" x14ac:dyDescent="0.25">
      <c r="A174" s="197">
        <v>4</v>
      </c>
      <c r="B174" s="203" t="s">
        <v>330</v>
      </c>
      <c r="C174" s="155"/>
      <c r="D174" s="182">
        <f t="shared" si="98"/>
        <v>1100</v>
      </c>
      <c r="E174" s="30">
        <v>1100</v>
      </c>
      <c r="F174" s="93"/>
      <c r="G174" s="30">
        <f>G175</f>
        <v>1100</v>
      </c>
      <c r="H174" s="30">
        <f t="shared" ref="H174:J174" si="116">H175</f>
        <v>770</v>
      </c>
      <c r="I174" s="30">
        <f t="shared" si="116"/>
        <v>220</v>
      </c>
      <c r="J174" s="30">
        <f t="shared" si="116"/>
        <v>110</v>
      </c>
      <c r="K174" s="157"/>
    </row>
    <row r="175" spans="1:11" s="5" customFormat="1" ht="30.75" customHeight="1" x14ac:dyDescent="0.25">
      <c r="A175" s="197" t="s">
        <v>26</v>
      </c>
      <c r="B175" s="204" t="s">
        <v>441</v>
      </c>
      <c r="C175" s="53" t="s">
        <v>39</v>
      </c>
      <c r="D175" s="183">
        <f t="shared" si="98"/>
        <v>1100</v>
      </c>
      <c r="E175" s="45">
        <v>1100</v>
      </c>
      <c r="F175" s="94"/>
      <c r="G175" s="45">
        <v>1100</v>
      </c>
      <c r="H175" s="45">
        <f>G175*70%</f>
        <v>770</v>
      </c>
      <c r="I175" s="45">
        <f>G175*20%</f>
        <v>220</v>
      </c>
      <c r="J175" s="45">
        <f>G175*10%</f>
        <v>110</v>
      </c>
      <c r="K175" s="168"/>
    </row>
    <row r="176" spans="1:11" s="173" customFormat="1" ht="36.75" customHeight="1" x14ac:dyDescent="0.25">
      <c r="A176" s="201" t="s">
        <v>201</v>
      </c>
      <c r="B176" s="213" t="s">
        <v>442</v>
      </c>
      <c r="C176" s="135"/>
      <c r="D176" s="185">
        <f t="shared" si="98"/>
        <v>1111.1099999999999</v>
      </c>
      <c r="E176" s="136">
        <v>1111.1099999999999</v>
      </c>
      <c r="F176" s="143"/>
      <c r="G176" s="136">
        <f>G177</f>
        <v>1111.1099999999999</v>
      </c>
      <c r="H176" s="136">
        <f t="shared" ref="H176:J177" si="117">H177</f>
        <v>999.99899999999991</v>
      </c>
      <c r="I176" s="136">
        <f t="shared" si="117"/>
        <v>99.999899999999982</v>
      </c>
      <c r="J176" s="136">
        <f t="shared" si="117"/>
        <v>11.111099999999999</v>
      </c>
      <c r="K176" s="172"/>
    </row>
    <row r="177" spans="1:11" s="5" customFormat="1" ht="26.25" customHeight="1" x14ac:dyDescent="0.25">
      <c r="A177" s="197">
        <v>1</v>
      </c>
      <c r="B177" s="203" t="s">
        <v>63</v>
      </c>
      <c r="C177" s="155"/>
      <c r="D177" s="182">
        <f t="shared" si="98"/>
        <v>1111.1099999999999</v>
      </c>
      <c r="E177" s="30">
        <v>1111.1099999999999</v>
      </c>
      <c r="F177" s="93"/>
      <c r="G177" s="30">
        <f>G178</f>
        <v>1111.1099999999999</v>
      </c>
      <c r="H177" s="30">
        <f t="shared" si="117"/>
        <v>999.99899999999991</v>
      </c>
      <c r="I177" s="30">
        <f t="shared" si="117"/>
        <v>99.999899999999982</v>
      </c>
      <c r="J177" s="30">
        <f t="shared" si="117"/>
        <v>11.111099999999999</v>
      </c>
      <c r="K177" s="157"/>
    </row>
    <row r="178" spans="1:11" ht="46.5" customHeight="1" x14ac:dyDescent="0.25">
      <c r="A178" s="198" t="s">
        <v>26</v>
      </c>
      <c r="B178" s="204" t="s">
        <v>443</v>
      </c>
      <c r="C178" s="53"/>
      <c r="D178" s="183">
        <f t="shared" si="98"/>
        <v>1111.1099999999999</v>
      </c>
      <c r="E178" s="45">
        <v>1111.1099999999999</v>
      </c>
      <c r="F178" s="94"/>
      <c r="G178" s="45">
        <v>1111.1099999999999</v>
      </c>
      <c r="H178" s="45">
        <f>G178*90%</f>
        <v>999.99899999999991</v>
      </c>
      <c r="I178" s="45">
        <f>G178*9%</f>
        <v>99.999899999999982</v>
      </c>
      <c r="J178" s="45">
        <f>G178*1%</f>
        <v>11.111099999999999</v>
      </c>
      <c r="K178" s="168"/>
    </row>
    <row r="179" spans="1:11" s="173" customFormat="1" ht="27.75" customHeight="1" x14ac:dyDescent="0.25">
      <c r="A179" s="201" t="s">
        <v>231</v>
      </c>
      <c r="B179" s="213" t="s">
        <v>52</v>
      </c>
      <c r="C179" s="135"/>
      <c r="D179" s="185">
        <f t="shared" si="98"/>
        <v>1770</v>
      </c>
      <c r="E179" s="136">
        <v>1770</v>
      </c>
      <c r="F179" s="143"/>
      <c r="G179" s="136">
        <f>G180+G182</f>
        <v>1770</v>
      </c>
      <c r="H179" s="136">
        <f t="shared" ref="H179:J179" si="118">H180+H182</f>
        <v>1127</v>
      </c>
      <c r="I179" s="136">
        <f t="shared" si="118"/>
        <v>442.5</v>
      </c>
      <c r="J179" s="136">
        <f t="shared" si="118"/>
        <v>200.5</v>
      </c>
      <c r="K179" s="172"/>
    </row>
    <row r="180" spans="1:11" s="5" customFormat="1" ht="27.75" customHeight="1" x14ac:dyDescent="0.25">
      <c r="A180" s="197">
        <v>1</v>
      </c>
      <c r="B180" s="203" t="s">
        <v>22</v>
      </c>
      <c r="C180" s="155"/>
      <c r="D180" s="182">
        <f t="shared" si="98"/>
        <v>560</v>
      </c>
      <c r="E180" s="30">
        <v>560</v>
      </c>
      <c r="F180" s="93"/>
      <c r="G180" s="30">
        <f>G181</f>
        <v>560</v>
      </c>
      <c r="H180" s="30">
        <f t="shared" ref="H180:J180" si="119">H181</f>
        <v>280</v>
      </c>
      <c r="I180" s="30">
        <f t="shared" si="119"/>
        <v>140</v>
      </c>
      <c r="J180" s="30">
        <f t="shared" si="119"/>
        <v>140</v>
      </c>
      <c r="K180" s="157"/>
    </row>
    <row r="181" spans="1:11" ht="27.75" customHeight="1" x14ac:dyDescent="0.25">
      <c r="A181" s="198" t="s">
        <v>26</v>
      </c>
      <c r="B181" s="204" t="s">
        <v>54</v>
      </c>
      <c r="C181" s="53">
        <v>1.4</v>
      </c>
      <c r="D181" s="183">
        <f t="shared" si="98"/>
        <v>560</v>
      </c>
      <c r="E181" s="45">
        <v>560</v>
      </c>
      <c r="F181" s="94"/>
      <c r="G181" s="45">
        <f>1.4*400</f>
        <v>560</v>
      </c>
      <c r="H181" s="45">
        <f>G181*50%</f>
        <v>280</v>
      </c>
      <c r="I181" s="45">
        <f>G181*25%</f>
        <v>140</v>
      </c>
      <c r="J181" s="45">
        <f>G181*25%</f>
        <v>140</v>
      </c>
      <c r="K181" s="168"/>
    </row>
    <row r="182" spans="1:11" s="5" customFormat="1" ht="27.75" customHeight="1" x14ac:dyDescent="0.25">
      <c r="A182" s="197">
        <v>2</v>
      </c>
      <c r="B182" s="203" t="s">
        <v>28</v>
      </c>
      <c r="C182" s="155"/>
      <c r="D182" s="182">
        <f t="shared" si="98"/>
        <v>1210</v>
      </c>
      <c r="E182" s="30">
        <v>1210</v>
      </c>
      <c r="F182" s="93"/>
      <c r="G182" s="30">
        <f>SUM(G183:G185)</f>
        <v>1210</v>
      </c>
      <c r="H182" s="30">
        <f t="shared" ref="H182:J182" si="120">SUM(H183:H185)</f>
        <v>847</v>
      </c>
      <c r="I182" s="30">
        <f t="shared" si="120"/>
        <v>302.5</v>
      </c>
      <c r="J182" s="30">
        <f t="shared" si="120"/>
        <v>60.5</v>
      </c>
      <c r="K182" s="157"/>
    </row>
    <row r="183" spans="1:11" ht="27.75" customHeight="1" x14ac:dyDescent="0.25">
      <c r="A183" s="198" t="s">
        <v>26</v>
      </c>
      <c r="B183" s="204" t="s">
        <v>444</v>
      </c>
      <c r="C183" s="53">
        <v>0.4</v>
      </c>
      <c r="D183" s="183">
        <f t="shared" si="98"/>
        <v>440</v>
      </c>
      <c r="E183" s="45">
        <v>440</v>
      </c>
      <c r="F183" s="94"/>
      <c r="G183" s="45">
        <v>440</v>
      </c>
      <c r="H183" s="45">
        <f t="shared" ref="H183:H185" si="121">G183*70%</f>
        <v>308</v>
      </c>
      <c r="I183" s="45">
        <f t="shared" ref="I183:I185" si="122">G183*25%</f>
        <v>110</v>
      </c>
      <c r="J183" s="45">
        <f t="shared" ref="J183:J185" si="123">G183*5%</f>
        <v>22</v>
      </c>
      <c r="K183" s="168"/>
    </row>
    <row r="184" spans="1:11" ht="27.75" customHeight="1" x14ac:dyDescent="0.25">
      <c r="A184" s="198" t="s">
        <v>26</v>
      </c>
      <c r="B184" s="204" t="s">
        <v>445</v>
      </c>
      <c r="C184" s="53">
        <v>0.4</v>
      </c>
      <c r="D184" s="183">
        <f t="shared" si="98"/>
        <v>440</v>
      </c>
      <c r="E184" s="45">
        <v>440</v>
      </c>
      <c r="F184" s="94"/>
      <c r="G184" s="45">
        <v>440</v>
      </c>
      <c r="H184" s="45">
        <f t="shared" si="121"/>
        <v>308</v>
      </c>
      <c r="I184" s="45">
        <f t="shared" si="122"/>
        <v>110</v>
      </c>
      <c r="J184" s="45">
        <f t="shared" si="123"/>
        <v>22</v>
      </c>
      <c r="K184" s="168"/>
    </row>
    <row r="185" spans="1:11" ht="27.75" customHeight="1" x14ac:dyDescent="0.25">
      <c r="A185" s="198" t="s">
        <v>26</v>
      </c>
      <c r="B185" s="204" t="s">
        <v>446</v>
      </c>
      <c r="C185" s="53">
        <v>0.3</v>
      </c>
      <c r="D185" s="183">
        <f t="shared" si="98"/>
        <v>330</v>
      </c>
      <c r="E185" s="45">
        <v>330</v>
      </c>
      <c r="F185" s="94"/>
      <c r="G185" s="45">
        <v>330</v>
      </c>
      <c r="H185" s="45">
        <f t="shared" si="121"/>
        <v>230.99999999999997</v>
      </c>
      <c r="I185" s="45">
        <f t="shared" si="122"/>
        <v>82.5</v>
      </c>
      <c r="J185" s="45">
        <f t="shared" si="123"/>
        <v>16.5</v>
      </c>
      <c r="K185" s="168"/>
    </row>
    <row r="186" spans="1:11" ht="16.5" thickBot="1" x14ac:dyDescent="0.3">
      <c r="A186" s="202"/>
      <c r="B186" s="178"/>
      <c r="C186" s="98"/>
      <c r="D186" s="188"/>
      <c r="E186" s="99"/>
      <c r="F186" s="179"/>
      <c r="G186" s="99"/>
      <c r="H186" s="99"/>
      <c r="I186" s="99"/>
      <c r="J186" s="99"/>
      <c r="K186" s="180"/>
    </row>
    <row r="187" spans="1:11" ht="16.5" thickTop="1" x14ac:dyDescent="0.25"/>
    <row r="188" spans="1:11" x14ac:dyDescent="0.25">
      <c r="J188" s="322"/>
      <c r="K188" s="322"/>
    </row>
  </sheetData>
  <mergeCells count="15">
    <mergeCell ref="J188:K188"/>
    <mergeCell ref="D5:F5"/>
    <mergeCell ref="D6:D7"/>
    <mergeCell ref="E6:F6"/>
    <mergeCell ref="A1:K1"/>
    <mergeCell ref="A2:K2"/>
    <mergeCell ref="I4:K4"/>
    <mergeCell ref="A5:A7"/>
    <mergeCell ref="B5:B7"/>
    <mergeCell ref="C5:C7"/>
    <mergeCell ref="G5:J5"/>
    <mergeCell ref="K5:K7"/>
    <mergeCell ref="G6:G7"/>
    <mergeCell ref="H6:J6"/>
    <mergeCell ref="A3:K3"/>
  </mergeCells>
  <pageMargins left="0.86614173228346458" right="0.15748031496062992" top="0.62" bottom="0.51181102362204722" header="0.31496062992125984" footer="0.19685039370078741"/>
  <pageSetup paperSize="9" scale="85" orientation="landscape" verticalDpi="0"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3" workbookViewId="0">
      <selection activeCell="B15" sqref="B15"/>
    </sheetView>
  </sheetViews>
  <sheetFormatPr defaultRowHeight="15" x14ac:dyDescent="0.25"/>
  <cols>
    <col min="1" max="1" width="4.28515625" bestFit="1" customWidth="1"/>
    <col min="2" max="2" width="26.5703125" customWidth="1"/>
    <col min="3" max="3" width="17.5703125" bestFit="1" customWidth="1"/>
    <col min="4" max="4" width="11.28515625" bestFit="1" customWidth="1"/>
    <col min="5" max="6" width="10.140625" bestFit="1" customWidth="1"/>
    <col min="256" max="256" width="4.28515625" bestFit="1" customWidth="1"/>
    <col min="257" max="257" width="26.5703125" customWidth="1"/>
    <col min="258" max="258" width="17.5703125" bestFit="1" customWidth="1"/>
    <col min="259" max="259" width="11.28515625" bestFit="1" customWidth="1"/>
    <col min="260" max="261" width="10.140625" bestFit="1" customWidth="1"/>
    <col min="512" max="512" width="4.28515625" bestFit="1" customWidth="1"/>
    <col min="513" max="513" width="26.5703125" customWidth="1"/>
    <col min="514" max="514" width="17.5703125" bestFit="1" customWidth="1"/>
    <col min="515" max="515" width="11.28515625" bestFit="1" customWidth="1"/>
    <col min="516" max="517" width="10.140625" bestFit="1" customWidth="1"/>
    <col min="768" max="768" width="4.28515625" bestFit="1" customWidth="1"/>
    <col min="769" max="769" width="26.5703125" customWidth="1"/>
    <col min="770" max="770" width="17.5703125" bestFit="1" customWidth="1"/>
    <col min="771" max="771" width="11.28515625" bestFit="1" customWidth="1"/>
    <col min="772" max="773" width="10.140625" bestFit="1" customWidth="1"/>
    <col min="1024" max="1024" width="4.28515625" bestFit="1" customWidth="1"/>
    <col min="1025" max="1025" width="26.5703125" customWidth="1"/>
    <col min="1026" max="1026" width="17.5703125" bestFit="1" customWidth="1"/>
    <col min="1027" max="1027" width="11.28515625" bestFit="1" customWidth="1"/>
    <col min="1028" max="1029" width="10.140625" bestFit="1" customWidth="1"/>
    <col min="1280" max="1280" width="4.28515625" bestFit="1" customWidth="1"/>
    <col min="1281" max="1281" width="26.5703125" customWidth="1"/>
    <col min="1282" max="1282" width="17.5703125" bestFit="1" customWidth="1"/>
    <col min="1283" max="1283" width="11.28515625" bestFit="1" customWidth="1"/>
    <col min="1284" max="1285" width="10.140625" bestFit="1" customWidth="1"/>
    <col min="1536" max="1536" width="4.28515625" bestFit="1" customWidth="1"/>
    <col min="1537" max="1537" width="26.5703125" customWidth="1"/>
    <col min="1538" max="1538" width="17.5703125" bestFit="1" customWidth="1"/>
    <col min="1539" max="1539" width="11.28515625" bestFit="1" customWidth="1"/>
    <col min="1540" max="1541" width="10.140625" bestFit="1" customWidth="1"/>
    <col min="1792" max="1792" width="4.28515625" bestFit="1" customWidth="1"/>
    <col min="1793" max="1793" width="26.5703125" customWidth="1"/>
    <col min="1794" max="1794" width="17.5703125" bestFit="1" customWidth="1"/>
    <col min="1795" max="1795" width="11.28515625" bestFit="1" customWidth="1"/>
    <col min="1796" max="1797" width="10.140625" bestFit="1" customWidth="1"/>
    <col min="2048" max="2048" width="4.28515625" bestFit="1" customWidth="1"/>
    <col min="2049" max="2049" width="26.5703125" customWidth="1"/>
    <col min="2050" max="2050" width="17.5703125" bestFit="1" customWidth="1"/>
    <col min="2051" max="2051" width="11.28515625" bestFit="1" customWidth="1"/>
    <col min="2052" max="2053" width="10.140625" bestFit="1" customWidth="1"/>
    <col min="2304" max="2304" width="4.28515625" bestFit="1" customWidth="1"/>
    <col min="2305" max="2305" width="26.5703125" customWidth="1"/>
    <col min="2306" max="2306" width="17.5703125" bestFit="1" customWidth="1"/>
    <col min="2307" max="2307" width="11.28515625" bestFit="1" customWidth="1"/>
    <col min="2308" max="2309" width="10.140625" bestFit="1" customWidth="1"/>
    <col min="2560" max="2560" width="4.28515625" bestFit="1" customWidth="1"/>
    <col min="2561" max="2561" width="26.5703125" customWidth="1"/>
    <col min="2562" max="2562" width="17.5703125" bestFit="1" customWidth="1"/>
    <col min="2563" max="2563" width="11.28515625" bestFit="1" customWidth="1"/>
    <col min="2564" max="2565" width="10.140625" bestFit="1" customWidth="1"/>
    <col min="2816" max="2816" width="4.28515625" bestFit="1" customWidth="1"/>
    <col min="2817" max="2817" width="26.5703125" customWidth="1"/>
    <col min="2818" max="2818" width="17.5703125" bestFit="1" customWidth="1"/>
    <col min="2819" max="2819" width="11.28515625" bestFit="1" customWidth="1"/>
    <col min="2820" max="2821" width="10.140625" bestFit="1" customWidth="1"/>
    <col min="3072" max="3072" width="4.28515625" bestFit="1" customWidth="1"/>
    <col min="3073" max="3073" width="26.5703125" customWidth="1"/>
    <col min="3074" max="3074" width="17.5703125" bestFit="1" customWidth="1"/>
    <col min="3075" max="3075" width="11.28515625" bestFit="1" customWidth="1"/>
    <col min="3076" max="3077" width="10.140625" bestFit="1" customWidth="1"/>
    <col min="3328" max="3328" width="4.28515625" bestFit="1" customWidth="1"/>
    <col min="3329" max="3329" width="26.5703125" customWidth="1"/>
    <col min="3330" max="3330" width="17.5703125" bestFit="1" customWidth="1"/>
    <col min="3331" max="3331" width="11.28515625" bestFit="1" customWidth="1"/>
    <col min="3332" max="3333" width="10.140625" bestFit="1" customWidth="1"/>
    <col min="3584" max="3584" width="4.28515625" bestFit="1" customWidth="1"/>
    <col min="3585" max="3585" width="26.5703125" customWidth="1"/>
    <col min="3586" max="3586" width="17.5703125" bestFit="1" customWidth="1"/>
    <col min="3587" max="3587" width="11.28515625" bestFit="1" customWidth="1"/>
    <col min="3588" max="3589" width="10.140625" bestFit="1" customWidth="1"/>
    <col min="3840" max="3840" width="4.28515625" bestFit="1" customWidth="1"/>
    <col min="3841" max="3841" width="26.5703125" customWidth="1"/>
    <col min="3842" max="3842" width="17.5703125" bestFit="1" customWidth="1"/>
    <col min="3843" max="3843" width="11.28515625" bestFit="1" customWidth="1"/>
    <col min="3844" max="3845" width="10.140625" bestFit="1" customWidth="1"/>
    <col min="4096" max="4096" width="4.28515625" bestFit="1" customWidth="1"/>
    <col min="4097" max="4097" width="26.5703125" customWidth="1"/>
    <col min="4098" max="4098" width="17.5703125" bestFit="1" customWidth="1"/>
    <col min="4099" max="4099" width="11.28515625" bestFit="1" customWidth="1"/>
    <col min="4100" max="4101" width="10.140625" bestFit="1" customWidth="1"/>
    <col min="4352" max="4352" width="4.28515625" bestFit="1" customWidth="1"/>
    <col min="4353" max="4353" width="26.5703125" customWidth="1"/>
    <col min="4354" max="4354" width="17.5703125" bestFit="1" customWidth="1"/>
    <col min="4355" max="4355" width="11.28515625" bestFit="1" customWidth="1"/>
    <col min="4356" max="4357" width="10.140625" bestFit="1" customWidth="1"/>
    <col min="4608" max="4608" width="4.28515625" bestFit="1" customWidth="1"/>
    <col min="4609" max="4609" width="26.5703125" customWidth="1"/>
    <col min="4610" max="4610" width="17.5703125" bestFit="1" customWidth="1"/>
    <col min="4611" max="4611" width="11.28515625" bestFit="1" customWidth="1"/>
    <col min="4612" max="4613" width="10.140625" bestFit="1" customWidth="1"/>
    <col min="4864" max="4864" width="4.28515625" bestFit="1" customWidth="1"/>
    <col min="4865" max="4865" width="26.5703125" customWidth="1"/>
    <col min="4866" max="4866" width="17.5703125" bestFit="1" customWidth="1"/>
    <col min="4867" max="4867" width="11.28515625" bestFit="1" customWidth="1"/>
    <col min="4868" max="4869" width="10.140625" bestFit="1" customWidth="1"/>
    <col min="5120" max="5120" width="4.28515625" bestFit="1" customWidth="1"/>
    <col min="5121" max="5121" width="26.5703125" customWidth="1"/>
    <col min="5122" max="5122" width="17.5703125" bestFit="1" customWidth="1"/>
    <col min="5123" max="5123" width="11.28515625" bestFit="1" customWidth="1"/>
    <col min="5124" max="5125" width="10.140625" bestFit="1" customWidth="1"/>
    <col min="5376" max="5376" width="4.28515625" bestFit="1" customWidth="1"/>
    <col min="5377" max="5377" width="26.5703125" customWidth="1"/>
    <col min="5378" max="5378" width="17.5703125" bestFit="1" customWidth="1"/>
    <col min="5379" max="5379" width="11.28515625" bestFit="1" customWidth="1"/>
    <col min="5380" max="5381" width="10.140625" bestFit="1" customWidth="1"/>
    <col min="5632" max="5632" width="4.28515625" bestFit="1" customWidth="1"/>
    <col min="5633" max="5633" width="26.5703125" customWidth="1"/>
    <col min="5634" max="5634" width="17.5703125" bestFit="1" customWidth="1"/>
    <col min="5635" max="5635" width="11.28515625" bestFit="1" customWidth="1"/>
    <col min="5636" max="5637" width="10.140625" bestFit="1" customWidth="1"/>
    <col min="5888" max="5888" width="4.28515625" bestFit="1" customWidth="1"/>
    <col min="5889" max="5889" width="26.5703125" customWidth="1"/>
    <col min="5890" max="5890" width="17.5703125" bestFit="1" customWidth="1"/>
    <col min="5891" max="5891" width="11.28515625" bestFit="1" customWidth="1"/>
    <col min="5892" max="5893" width="10.140625" bestFit="1" customWidth="1"/>
    <col min="6144" max="6144" width="4.28515625" bestFit="1" customWidth="1"/>
    <col min="6145" max="6145" width="26.5703125" customWidth="1"/>
    <col min="6146" max="6146" width="17.5703125" bestFit="1" customWidth="1"/>
    <col min="6147" max="6147" width="11.28515625" bestFit="1" customWidth="1"/>
    <col min="6148" max="6149" width="10.140625" bestFit="1" customWidth="1"/>
    <col min="6400" max="6400" width="4.28515625" bestFit="1" customWidth="1"/>
    <col min="6401" max="6401" width="26.5703125" customWidth="1"/>
    <col min="6402" max="6402" width="17.5703125" bestFit="1" customWidth="1"/>
    <col min="6403" max="6403" width="11.28515625" bestFit="1" customWidth="1"/>
    <col min="6404" max="6405" width="10.140625" bestFit="1" customWidth="1"/>
    <col min="6656" max="6656" width="4.28515625" bestFit="1" customWidth="1"/>
    <col min="6657" max="6657" width="26.5703125" customWidth="1"/>
    <col min="6658" max="6658" width="17.5703125" bestFit="1" customWidth="1"/>
    <col min="6659" max="6659" width="11.28515625" bestFit="1" customWidth="1"/>
    <col min="6660" max="6661" width="10.140625" bestFit="1" customWidth="1"/>
    <col min="6912" max="6912" width="4.28515625" bestFit="1" customWidth="1"/>
    <col min="6913" max="6913" width="26.5703125" customWidth="1"/>
    <col min="6914" max="6914" width="17.5703125" bestFit="1" customWidth="1"/>
    <col min="6915" max="6915" width="11.28515625" bestFit="1" customWidth="1"/>
    <col min="6916" max="6917" width="10.140625" bestFit="1" customWidth="1"/>
    <col min="7168" max="7168" width="4.28515625" bestFit="1" customWidth="1"/>
    <col min="7169" max="7169" width="26.5703125" customWidth="1"/>
    <col min="7170" max="7170" width="17.5703125" bestFit="1" customWidth="1"/>
    <col min="7171" max="7171" width="11.28515625" bestFit="1" customWidth="1"/>
    <col min="7172" max="7173" width="10.140625" bestFit="1" customWidth="1"/>
    <col min="7424" max="7424" width="4.28515625" bestFit="1" customWidth="1"/>
    <col min="7425" max="7425" width="26.5703125" customWidth="1"/>
    <col min="7426" max="7426" width="17.5703125" bestFit="1" customWidth="1"/>
    <col min="7427" max="7427" width="11.28515625" bestFit="1" customWidth="1"/>
    <col min="7428" max="7429" width="10.140625" bestFit="1" customWidth="1"/>
    <col min="7680" max="7680" width="4.28515625" bestFit="1" customWidth="1"/>
    <col min="7681" max="7681" width="26.5703125" customWidth="1"/>
    <col min="7682" max="7682" width="17.5703125" bestFit="1" customWidth="1"/>
    <col min="7683" max="7683" width="11.28515625" bestFit="1" customWidth="1"/>
    <col min="7684" max="7685" width="10.140625" bestFit="1" customWidth="1"/>
    <col min="7936" max="7936" width="4.28515625" bestFit="1" customWidth="1"/>
    <col min="7937" max="7937" width="26.5703125" customWidth="1"/>
    <col min="7938" max="7938" width="17.5703125" bestFit="1" customWidth="1"/>
    <col min="7939" max="7939" width="11.28515625" bestFit="1" customWidth="1"/>
    <col min="7940" max="7941" width="10.140625" bestFit="1" customWidth="1"/>
    <col min="8192" max="8192" width="4.28515625" bestFit="1" customWidth="1"/>
    <col min="8193" max="8193" width="26.5703125" customWidth="1"/>
    <col min="8194" max="8194" width="17.5703125" bestFit="1" customWidth="1"/>
    <col min="8195" max="8195" width="11.28515625" bestFit="1" customWidth="1"/>
    <col min="8196" max="8197" width="10.140625" bestFit="1" customWidth="1"/>
    <col min="8448" max="8448" width="4.28515625" bestFit="1" customWidth="1"/>
    <col min="8449" max="8449" width="26.5703125" customWidth="1"/>
    <col min="8450" max="8450" width="17.5703125" bestFit="1" customWidth="1"/>
    <col min="8451" max="8451" width="11.28515625" bestFit="1" customWidth="1"/>
    <col min="8452" max="8453" width="10.140625" bestFit="1" customWidth="1"/>
    <col min="8704" max="8704" width="4.28515625" bestFit="1" customWidth="1"/>
    <col min="8705" max="8705" width="26.5703125" customWidth="1"/>
    <col min="8706" max="8706" width="17.5703125" bestFit="1" customWidth="1"/>
    <col min="8707" max="8707" width="11.28515625" bestFit="1" customWidth="1"/>
    <col min="8708" max="8709" width="10.140625" bestFit="1" customWidth="1"/>
    <col min="8960" max="8960" width="4.28515625" bestFit="1" customWidth="1"/>
    <col min="8961" max="8961" width="26.5703125" customWidth="1"/>
    <col min="8962" max="8962" width="17.5703125" bestFit="1" customWidth="1"/>
    <col min="8963" max="8963" width="11.28515625" bestFit="1" customWidth="1"/>
    <col min="8964" max="8965" width="10.140625" bestFit="1" customWidth="1"/>
    <col min="9216" max="9216" width="4.28515625" bestFit="1" customWidth="1"/>
    <col min="9217" max="9217" width="26.5703125" customWidth="1"/>
    <col min="9218" max="9218" width="17.5703125" bestFit="1" customWidth="1"/>
    <col min="9219" max="9219" width="11.28515625" bestFit="1" customWidth="1"/>
    <col min="9220" max="9221" width="10.140625" bestFit="1" customWidth="1"/>
    <col min="9472" max="9472" width="4.28515625" bestFit="1" customWidth="1"/>
    <col min="9473" max="9473" width="26.5703125" customWidth="1"/>
    <col min="9474" max="9474" width="17.5703125" bestFit="1" customWidth="1"/>
    <col min="9475" max="9475" width="11.28515625" bestFit="1" customWidth="1"/>
    <col min="9476" max="9477" width="10.140625" bestFit="1" customWidth="1"/>
    <col min="9728" max="9728" width="4.28515625" bestFit="1" customWidth="1"/>
    <col min="9729" max="9729" width="26.5703125" customWidth="1"/>
    <col min="9730" max="9730" width="17.5703125" bestFit="1" customWidth="1"/>
    <col min="9731" max="9731" width="11.28515625" bestFit="1" customWidth="1"/>
    <col min="9732" max="9733" width="10.140625" bestFit="1" customWidth="1"/>
    <col min="9984" max="9984" width="4.28515625" bestFit="1" customWidth="1"/>
    <col min="9985" max="9985" width="26.5703125" customWidth="1"/>
    <col min="9986" max="9986" width="17.5703125" bestFit="1" customWidth="1"/>
    <col min="9987" max="9987" width="11.28515625" bestFit="1" customWidth="1"/>
    <col min="9988" max="9989" width="10.140625" bestFit="1" customWidth="1"/>
    <col min="10240" max="10240" width="4.28515625" bestFit="1" customWidth="1"/>
    <col min="10241" max="10241" width="26.5703125" customWidth="1"/>
    <col min="10242" max="10242" width="17.5703125" bestFit="1" customWidth="1"/>
    <col min="10243" max="10243" width="11.28515625" bestFit="1" customWidth="1"/>
    <col min="10244" max="10245" width="10.140625" bestFit="1" customWidth="1"/>
    <col min="10496" max="10496" width="4.28515625" bestFit="1" customWidth="1"/>
    <col min="10497" max="10497" width="26.5703125" customWidth="1"/>
    <col min="10498" max="10498" width="17.5703125" bestFit="1" customWidth="1"/>
    <col min="10499" max="10499" width="11.28515625" bestFit="1" customWidth="1"/>
    <col min="10500" max="10501" width="10.140625" bestFit="1" customWidth="1"/>
    <col min="10752" max="10752" width="4.28515625" bestFit="1" customWidth="1"/>
    <col min="10753" max="10753" width="26.5703125" customWidth="1"/>
    <col min="10754" max="10754" width="17.5703125" bestFit="1" customWidth="1"/>
    <col min="10755" max="10755" width="11.28515625" bestFit="1" customWidth="1"/>
    <col min="10756" max="10757" width="10.140625" bestFit="1" customWidth="1"/>
    <col min="11008" max="11008" width="4.28515625" bestFit="1" customWidth="1"/>
    <col min="11009" max="11009" width="26.5703125" customWidth="1"/>
    <col min="11010" max="11010" width="17.5703125" bestFit="1" customWidth="1"/>
    <col min="11011" max="11011" width="11.28515625" bestFit="1" customWidth="1"/>
    <col min="11012" max="11013" width="10.140625" bestFit="1" customWidth="1"/>
    <col min="11264" max="11264" width="4.28515625" bestFit="1" customWidth="1"/>
    <col min="11265" max="11265" width="26.5703125" customWidth="1"/>
    <col min="11266" max="11266" width="17.5703125" bestFit="1" customWidth="1"/>
    <col min="11267" max="11267" width="11.28515625" bestFit="1" customWidth="1"/>
    <col min="11268" max="11269" width="10.140625" bestFit="1" customWidth="1"/>
    <col min="11520" max="11520" width="4.28515625" bestFit="1" customWidth="1"/>
    <col min="11521" max="11521" width="26.5703125" customWidth="1"/>
    <col min="11522" max="11522" width="17.5703125" bestFit="1" customWidth="1"/>
    <col min="11523" max="11523" width="11.28515625" bestFit="1" customWidth="1"/>
    <col min="11524" max="11525" width="10.140625" bestFit="1" customWidth="1"/>
    <col min="11776" max="11776" width="4.28515625" bestFit="1" customWidth="1"/>
    <col min="11777" max="11777" width="26.5703125" customWidth="1"/>
    <col min="11778" max="11778" width="17.5703125" bestFit="1" customWidth="1"/>
    <col min="11779" max="11779" width="11.28515625" bestFit="1" customWidth="1"/>
    <col min="11780" max="11781" width="10.140625" bestFit="1" customWidth="1"/>
    <col min="12032" max="12032" width="4.28515625" bestFit="1" customWidth="1"/>
    <col min="12033" max="12033" width="26.5703125" customWidth="1"/>
    <col min="12034" max="12034" width="17.5703125" bestFit="1" customWidth="1"/>
    <col min="12035" max="12035" width="11.28515625" bestFit="1" customWidth="1"/>
    <col min="12036" max="12037" width="10.140625" bestFit="1" customWidth="1"/>
    <col min="12288" max="12288" width="4.28515625" bestFit="1" customWidth="1"/>
    <col min="12289" max="12289" width="26.5703125" customWidth="1"/>
    <col min="12290" max="12290" width="17.5703125" bestFit="1" customWidth="1"/>
    <col min="12291" max="12291" width="11.28515625" bestFit="1" customWidth="1"/>
    <col min="12292" max="12293" width="10.140625" bestFit="1" customWidth="1"/>
    <col min="12544" max="12544" width="4.28515625" bestFit="1" customWidth="1"/>
    <col min="12545" max="12545" width="26.5703125" customWidth="1"/>
    <col min="12546" max="12546" width="17.5703125" bestFit="1" customWidth="1"/>
    <col min="12547" max="12547" width="11.28515625" bestFit="1" customWidth="1"/>
    <col min="12548" max="12549" width="10.140625" bestFit="1" customWidth="1"/>
    <col min="12800" max="12800" width="4.28515625" bestFit="1" customWidth="1"/>
    <col min="12801" max="12801" width="26.5703125" customWidth="1"/>
    <col min="12802" max="12802" width="17.5703125" bestFit="1" customWidth="1"/>
    <col min="12803" max="12803" width="11.28515625" bestFit="1" customWidth="1"/>
    <col min="12804" max="12805" width="10.140625" bestFit="1" customWidth="1"/>
    <col min="13056" max="13056" width="4.28515625" bestFit="1" customWidth="1"/>
    <col min="13057" max="13057" width="26.5703125" customWidth="1"/>
    <col min="13058" max="13058" width="17.5703125" bestFit="1" customWidth="1"/>
    <col min="13059" max="13059" width="11.28515625" bestFit="1" customWidth="1"/>
    <col min="13060" max="13061" width="10.140625" bestFit="1" customWidth="1"/>
    <col min="13312" max="13312" width="4.28515625" bestFit="1" customWidth="1"/>
    <col min="13313" max="13313" width="26.5703125" customWidth="1"/>
    <col min="13314" max="13314" width="17.5703125" bestFit="1" customWidth="1"/>
    <col min="13315" max="13315" width="11.28515625" bestFit="1" customWidth="1"/>
    <col min="13316" max="13317" width="10.140625" bestFit="1" customWidth="1"/>
    <col min="13568" max="13568" width="4.28515625" bestFit="1" customWidth="1"/>
    <col min="13569" max="13569" width="26.5703125" customWidth="1"/>
    <col min="13570" max="13570" width="17.5703125" bestFit="1" customWidth="1"/>
    <col min="13571" max="13571" width="11.28515625" bestFit="1" customWidth="1"/>
    <col min="13572" max="13573" width="10.140625" bestFit="1" customWidth="1"/>
    <col min="13824" max="13824" width="4.28515625" bestFit="1" customWidth="1"/>
    <col min="13825" max="13825" width="26.5703125" customWidth="1"/>
    <col min="13826" max="13826" width="17.5703125" bestFit="1" customWidth="1"/>
    <col min="13827" max="13827" width="11.28515625" bestFit="1" customWidth="1"/>
    <col min="13828" max="13829" width="10.140625" bestFit="1" customWidth="1"/>
    <col min="14080" max="14080" width="4.28515625" bestFit="1" customWidth="1"/>
    <col min="14081" max="14081" width="26.5703125" customWidth="1"/>
    <col min="14082" max="14082" width="17.5703125" bestFit="1" customWidth="1"/>
    <col min="14083" max="14083" width="11.28515625" bestFit="1" customWidth="1"/>
    <col min="14084" max="14085" width="10.140625" bestFit="1" customWidth="1"/>
    <col min="14336" max="14336" width="4.28515625" bestFit="1" customWidth="1"/>
    <col min="14337" max="14337" width="26.5703125" customWidth="1"/>
    <col min="14338" max="14338" width="17.5703125" bestFit="1" customWidth="1"/>
    <col min="14339" max="14339" width="11.28515625" bestFit="1" customWidth="1"/>
    <col min="14340" max="14341" width="10.140625" bestFit="1" customWidth="1"/>
    <col min="14592" max="14592" width="4.28515625" bestFit="1" customWidth="1"/>
    <col min="14593" max="14593" width="26.5703125" customWidth="1"/>
    <col min="14594" max="14594" width="17.5703125" bestFit="1" customWidth="1"/>
    <col min="14595" max="14595" width="11.28515625" bestFit="1" customWidth="1"/>
    <col min="14596" max="14597" width="10.140625" bestFit="1" customWidth="1"/>
    <col min="14848" max="14848" width="4.28515625" bestFit="1" customWidth="1"/>
    <col min="14849" max="14849" width="26.5703125" customWidth="1"/>
    <col min="14850" max="14850" width="17.5703125" bestFit="1" customWidth="1"/>
    <col min="14851" max="14851" width="11.28515625" bestFit="1" customWidth="1"/>
    <col min="14852" max="14853" width="10.140625" bestFit="1" customWidth="1"/>
    <col min="15104" max="15104" width="4.28515625" bestFit="1" customWidth="1"/>
    <col min="15105" max="15105" width="26.5703125" customWidth="1"/>
    <col min="15106" max="15106" width="17.5703125" bestFit="1" customWidth="1"/>
    <col min="15107" max="15107" width="11.28515625" bestFit="1" customWidth="1"/>
    <col min="15108" max="15109" width="10.140625" bestFit="1" customWidth="1"/>
    <col min="15360" max="15360" width="4.28515625" bestFit="1" customWidth="1"/>
    <col min="15361" max="15361" width="26.5703125" customWidth="1"/>
    <col min="15362" max="15362" width="17.5703125" bestFit="1" customWidth="1"/>
    <col min="15363" max="15363" width="11.28515625" bestFit="1" customWidth="1"/>
    <col min="15364" max="15365" width="10.140625" bestFit="1" customWidth="1"/>
    <col min="15616" max="15616" width="4.28515625" bestFit="1" customWidth="1"/>
    <col min="15617" max="15617" width="26.5703125" customWidth="1"/>
    <col min="15618" max="15618" width="17.5703125" bestFit="1" customWidth="1"/>
    <col min="15619" max="15619" width="11.28515625" bestFit="1" customWidth="1"/>
    <col min="15620" max="15621" width="10.140625" bestFit="1" customWidth="1"/>
    <col min="15872" max="15872" width="4.28515625" bestFit="1" customWidth="1"/>
    <col min="15873" max="15873" width="26.5703125" customWidth="1"/>
    <col min="15874" max="15874" width="17.5703125" bestFit="1" customWidth="1"/>
    <col min="15875" max="15875" width="11.28515625" bestFit="1" customWidth="1"/>
    <col min="15876" max="15877" width="10.140625" bestFit="1" customWidth="1"/>
    <col min="16128" max="16128" width="4.28515625" bestFit="1" customWidth="1"/>
    <col min="16129" max="16129" width="26.5703125" customWidth="1"/>
    <col min="16130" max="16130" width="17.5703125" bestFit="1" customWidth="1"/>
    <col min="16131" max="16131" width="11.28515625" bestFit="1" customWidth="1"/>
    <col min="16132" max="16133" width="10.140625" bestFit="1" customWidth="1"/>
  </cols>
  <sheetData>
    <row r="1" spans="1:6" hidden="1" x14ac:dyDescent="0.25"/>
    <row r="2" spans="1:6" hidden="1" x14ac:dyDescent="0.25"/>
    <row r="3" spans="1:6" x14ac:dyDescent="0.25">
      <c r="A3" s="336" t="s">
        <v>473</v>
      </c>
      <c r="B3" s="336"/>
      <c r="C3" s="336"/>
      <c r="D3" s="336"/>
      <c r="E3" s="336"/>
      <c r="F3" s="336"/>
    </row>
    <row r="4" spans="1:6" x14ac:dyDescent="0.25">
      <c r="A4" s="337" t="s">
        <v>529</v>
      </c>
      <c r="B4" s="337"/>
      <c r="C4" s="337"/>
      <c r="D4" s="337"/>
      <c r="E4" s="337"/>
      <c r="F4" s="337"/>
    </row>
    <row r="5" spans="1:6" ht="36" customHeight="1" x14ac:dyDescent="0.25">
      <c r="A5" s="337"/>
      <c r="B5" s="337"/>
      <c r="C5" s="337"/>
      <c r="D5" s="337"/>
      <c r="E5" s="337"/>
      <c r="F5" s="337"/>
    </row>
    <row r="6" spans="1:6" s="308" customFormat="1" ht="42.75" customHeight="1" thickBot="1" x14ac:dyDescent="0.3">
      <c r="A6" s="343" t="s">
        <v>289</v>
      </c>
      <c r="B6" s="343"/>
      <c r="C6" s="343"/>
      <c r="D6" s="343"/>
      <c r="E6" s="343"/>
      <c r="F6" s="343"/>
    </row>
    <row r="7" spans="1:6" s="261" customFormat="1" ht="39.75" customHeight="1" thickTop="1" x14ac:dyDescent="0.2">
      <c r="A7" s="338" t="s">
        <v>295</v>
      </c>
      <c r="B7" s="340" t="s">
        <v>475</v>
      </c>
      <c r="C7" s="340" t="s">
        <v>476</v>
      </c>
      <c r="D7" s="340" t="s">
        <v>299</v>
      </c>
      <c r="E7" s="340"/>
      <c r="F7" s="342"/>
    </row>
    <row r="8" spans="1:6" s="261" customFormat="1" ht="12.75" x14ac:dyDescent="0.2">
      <c r="A8" s="339"/>
      <c r="B8" s="341"/>
      <c r="C8" s="341"/>
      <c r="D8" s="262" t="s">
        <v>477</v>
      </c>
      <c r="E8" s="262" t="s">
        <v>478</v>
      </c>
      <c r="F8" s="299" t="s">
        <v>479</v>
      </c>
    </row>
    <row r="9" spans="1:6" ht="15.75" x14ac:dyDescent="0.25">
      <c r="A9" s="76"/>
      <c r="B9" s="263" t="s">
        <v>303</v>
      </c>
      <c r="C9" s="70">
        <f>C10+C26+C48</f>
        <v>24091.11</v>
      </c>
      <c r="D9" s="70">
        <f>D10+D26+D48</f>
        <v>18373.027000000002</v>
      </c>
      <c r="E9" s="70">
        <f>E10+E26+E48</f>
        <v>4027.4520000000002</v>
      </c>
      <c r="F9" s="71">
        <f>F10+F26+F48</f>
        <v>1690.6309999999999</v>
      </c>
    </row>
    <row r="10" spans="1:6" ht="15.75" x14ac:dyDescent="0.25">
      <c r="A10" s="264"/>
      <c r="B10" s="265" t="s">
        <v>480</v>
      </c>
      <c r="C10" s="266">
        <f>C11+C14+C19+C21</f>
        <v>8108</v>
      </c>
      <c r="D10" s="266">
        <f>D11+D14+D19+D21</f>
        <v>6206.6</v>
      </c>
      <c r="E10" s="266">
        <f>E11+E14+E19+E21</f>
        <v>1450.08</v>
      </c>
      <c r="F10" s="300">
        <f>F11+F14+F19+F21</f>
        <v>451.32</v>
      </c>
    </row>
    <row r="11" spans="1:6" ht="15.75" x14ac:dyDescent="0.25">
      <c r="A11" s="248" t="s">
        <v>20</v>
      </c>
      <c r="B11" s="267" t="s">
        <v>58</v>
      </c>
      <c r="C11" s="143">
        <f>C12+C13</f>
        <v>2002</v>
      </c>
      <c r="D11" s="143">
        <f>D12+D13</f>
        <v>1801.8000000000002</v>
      </c>
      <c r="E11" s="143">
        <f>E12+E13</f>
        <v>180.18</v>
      </c>
      <c r="F11" s="301">
        <f>F12+F13</f>
        <v>20.020000000000003</v>
      </c>
    </row>
    <row r="12" spans="1:6" ht="15.75" x14ac:dyDescent="0.25">
      <c r="A12" s="268">
        <v>1</v>
      </c>
      <c r="B12" s="269" t="s">
        <v>481</v>
      </c>
      <c r="C12" s="94">
        <v>980</v>
      </c>
      <c r="D12" s="94">
        <f>C12*90%</f>
        <v>882</v>
      </c>
      <c r="E12" s="94">
        <f>C12*9%</f>
        <v>88.2</v>
      </c>
      <c r="F12" s="302">
        <f>C12*1%</f>
        <v>9.8000000000000007</v>
      </c>
    </row>
    <row r="13" spans="1:6" ht="15.75" x14ac:dyDescent="0.25">
      <c r="A13" s="268">
        <v>2</v>
      </c>
      <c r="B13" s="269" t="s">
        <v>482</v>
      </c>
      <c r="C13" s="94">
        <v>1022</v>
      </c>
      <c r="D13" s="94">
        <f>C13*90%</f>
        <v>919.80000000000007</v>
      </c>
      <c r="E13" s="94">
        <f>C13*9%</f>
        <v>91.97999999999999</v>
      </c>
      <c r="F13" s="302">
        <f>C13*1%</f>
        <v>10.220000000000001</v>
      </c>
    </row>
    <row r="14" spans="1:6" ht="15.75" x14ac:dyDescent="0.25">
      <c r="A14" s="270" t="s">
        <v>40</v>
      </c>
      <c r="B14" s="271" t="s">
        <v>36</v>
      </c>
      <c r="C14" s="143">
        <f>SUM(C15:C18)</f>
        <v>3300</v>
      </c>
      <c r="D14" s="143">
        <f>SUM(D15:D18)</f>
        <v>2160</v>
      </c>
      <c r="E14" s="143">
        <f>SUM(E15:E18)</f>
        <v>835</v>
      </c>
      <c r="F14" s="301">
        <f>SUM(F15:F18)</f>
        <v>305</v>
      </c>
    </row>
    <row r="15" spans="1:6" ht="63" x14ac:dyDescent="0.25">
      <c r="A15" s="268">
        <v>1</v>
      </c>
      <c r="B15" s="269" t="s">
        <v>483</v>
      </c>
      <c r="C15" s="94">
        <v>850</v>
      </c>
      <c r="D15" s="94">
        <f>C15*70%</f>
        <v>595</v>
      </c>
      <c r="E15" s="94">
        <f>C15*15%</f>
        <v>127.5</v>
      </c>
      <c r="F15" s="302">
        <f>C15*15%</f>
        <v>127.5</v>
      </c>
    </row>
    <row r="16" spans="1:6" ht="31.5" x14ac:dyDescent="0.25">
      <c r="A16" s="268">
        <v>2</v>
      </c>
      <c r="B16" s="269" t="s">
        <v>484</v>
      </c>
      <c r="C16" s="94">
        <v>750</v>
      </c>
      <c r="D16" s="94">
        <f>C16*70%</f>
        <v>525</v>
      </c>
      <c r="E16" s="94">
        <f>C16*15%</f>
        <v>112.5</v>
      </c>
      <c r="F16" s="302">
        <f>C16*15%</f>
        <v>112.5</v>
      </c>
    </row>
    <row r="17" spans="1:6" ht="31.5" x14ac:dyDescent="0.25">
      <c r="A17" s="268">
        <v>3</v>
      </c>
      <c r="B17" s="269" t="s">
        <v>485</v>
      </c>
      <c r="C17" s="94">
        <v>1300</v>
      </c>
      <c r="D17" s="94">
        <v>720</v>
      </c>
      <c r="E17" s="94">
        <f>(900*15%)+400</f>
        <v>535</v>
      </c>
      <c r="F17" s="302">
        <f>900*5%</f>
        <v>45</v>
      </c>
    </row>
    <row r="18" spans="1:6" ht="15.75" x14ac:dyDescent="0.25">
      <c r="A18" s="270">
        <v>4</v>
      </c>
      <c r="B18" s="272" t="s">
        <v>486</v>
      </c>
      <c r="C18" s="62">
        <v>400</v>
      </c>
      <c r="D18" s="62">
        <v>320</v>
      </c>
      <c r="E18" s="62">
        <f>C18*15%</f>
        <v>60</v>
      </c>
      <c r="F18" s="82">
        <f>C18*5%</f>
        <v>20</v>
      </c>
    </row>
    <row r="19" spans="1:6" ht="15.75" x14ac:dyDescent="0.25">
      <c r="A19" s="270" t="s">
        <v>40</v>
      </c>
      <c r="B19" s="271" t="s">
        <v>199</v>
      </c>
      <c r="C19" s="273">
        <f>C20</f>
        <v>350</v>
      </c>
      <c r="D19" s="273">
        <f>D20</f>
        <v>280</v>
      </c>
      <c r="E19" s="273">
        <f>E20</f>
        <v>66.5</v>
      </c>
      <c r="F19" s="303">
        <f>F20</f>
        <v>3.5</v>
      </c>
    </row>
    <row r="20" spans="1:6" ht="63" x14ac:dyDescent="0.25">
      <c r="A20" s="268">
        <v>1</v>
      </c>
      <c r="B20" s="274" t="s">
        <v>487</v>
      </c>
      <c r="C20" s="275">
        <v>350</v>
      </c>
      <c r="D20" s="275">
        <f>C20*80%</f>
        <v>280</v>
      </c>
      <c r="E20" s="275">
        <f>C20*19%</f>
        <v>66.5</v>
      </c>
      <c r="F20" s="304">
        <f>C20*1%</f>
        <v>3.5</v>
      </c>
    </row>
    <row r="21" spans="1:6" ht="15.75" x14ac:dyDescent="0.25">
      <c r="A21" s="248" t="s">
        <v>51</v>
      </c>
      <c r="B21" s="267" t="s">
        <v>63</v>
      </c>
      <c r="C21" s="273">
        <f>SUM(C22:C24)</f>
        <v>2456</v>
      </c>
      <c r="D21" s="273">
        <f>SUM(D22:D24)</f>
        <v>1964.8</v>
      </c>
      <c r="E21" s="273">
        <f>SUM(E22:E24)</f>
        <v>368.4</v>
      </c>
      <c r="F21" s="303">
        <f>SUM(F22:F24)</f>
        <v>122.8</v>
      </c>
    </row>
    <row r="22" spans="1:6" ht="63" x14ac:dyDescent="0.25">
      <c r="A22" s="76">
        <v>1</v>
      </c>
      <c r="B22" s="276" t="s">
        <v>488</v>
      </c>
      <c r="C22" s="275">
        <v>1120</v>
      </c>
      <c r="D22" s="275">
        <f>C22*80%</f>
        <v>896</v>
      </c>
      <c r="E22" s="275">
        <f>C22*15%</f>
        <v>168</v>
      </c>
      <c r="F22" s="304">
        <f>C22*5%</f>
        <v>56</v>
      </c>
    </row>
    <row r="23" spans="1:6" ht="63" x14ac:dyDescent="0.25">
      <c r="A23" s="76">
        <v>2</v>
      </c>
      <c r="B23" s="276" t="s">
        <v>489</v>
      </c>
      <c r="C23" s="275">
        <v>920</v>
      </c>
      <c r="D23" s="275">
        <f>C23*80%</f>
        <v>736</v>
      </c>
      <c r="E23" s="275">
        <f>C23*15%</f>
        <v>138</v>
      </c>
      <c r="F23" s="304">
        <f>C23*5%</f>
        <v>46</v>
      </c>
    </row>
    <row r="24" spans="1:6" ht="78.75" x14ac:dyDescent="0.25">
      <c r="A24" s="76">
        <v>3</v>
      </c>
      <c r="B24" s="274" t="s">
        <v>490</v>
      </c>
      <c r="C24" s="62">
        <v>416</v>
      </c>
      <c r="D24" s="62">
        <f>C24*80%</f>
        <v>332.8</v>
      </c>
      <c r="E24" s="62">
        <f>C24*15%</f>
        <v>62.4</v>
      </c>
      <c r="F24" s="82">
        <f>C24*5%</f>
        <v>20.8</v>
      </c>
    </row>
    <row r="25" spans="1:6" ht="15.75" x14ac:dyDescent="0.25">
      <c r="A25" s="76"/>
      <c r="B25" s="277"/>
      <c r="C25" s="62"/>
      <c r="D25" s="62"/>
      <c r="E25" s="62"/>
      <c r="F25" s="82"/>
    </row>
    <row r="26" spans="1:6" ht="15.75" x14ac:dyDescent="0.25">
      <c r="A26" s="19"/>
      <c r="B26" s="278" t="s">
        <v>491</v>
      </c>
      <c r="C26" s="23">
        <f>C27+C30+C33+C38+C40+C45</f>
        <v>7942.5</v>
      </c>
      <c r="D26" s="23">
        <f>D27+D30+D33+D38+D40+D45</f>
        <v>6224.25</v>
      </c>
      <c r="E26" s="23">
        <f>E27+E30+E33+E38+E40+E45</f>
        <v>1216.125</v>
      </c>
      <c r="F26" s="25">
        <f>F27+F30+F33+F38+F40+F45</f>
        <v>502.125</v>
      </c>
    </row>
    <row r="27" spans="1:6" s="281" customFormat="1" ht="15.75" x14ac:dyDescent="0.25">
      <c r="A27" s="279" t="s">
        <v>20</v>
      </c>
      <c r="B27" s="280" t="s">
        <v>22</v>
      </c>
      <c r="C27" s="136">
        <f>SUM(C28:C29)</f>
        <v>1450</v>
      </c>
      <c r="D27" s="136">
        <f>SUM(D28:D29)</f>
        <v>1015</v>
      </c>
      <c r="E27" s="136">
        <f>SUM(E28:E29)</f>
        <v>290</v>
      </c>
      <c r="F27" s="137">
        <f>SUM(F28:F29)</f>
        <v>145</v>
      </c>
    </row>
    <row r="28" spans="1:6" ht="15.75" x14ac:dyDescent="0.25">
      <c r="A28" s="282">
        <v>1</v>
      </c>
      <c r="B28" s="283" t="s">
        <v>492</v>
      </c>
      <c r="C28" s="141">
        <v>950</v>
      </c>
      <c r="D28" s="284">
        <f>C28*0.7</f>
        <v>665</v>
      </c>
      <c r="E28" s="284">
        <f>C28*0.2</f>
        <v>190</v>
      </c>
      <c r="F28" s="305">
        <f>C28*0.1</f>
        <v>95</v>
      </c>
    </row>
    <row r="29" spans="1:6" ht="31.5" x14ac:dyDescent="0.25">
      <c r="A29" s="282">
        <v>2</v>
      </c>
      <c r="B29" s="283" t="s">
        <v>493</v>
      </c>
      <c r="C29" s="45">
        <v>500</v>
      </c>
      <c r="D29" s="284">
        <f>C29*0.7</f>
        <v>350</v>
      </c>
      <c r="E29" s="284">
        <f>C29*0.2</f>
        <v>100</v>
      </c>
      <c r="F29" s="305">
        <f>C29*0.1</f>
        <v>50</v>
      </c>
    </row>
    <row r="30" spans="1:6" s="281" customFormat="1" ht="15.75" x14ac:dyDescent="0.25">
      <c r="A30" s="279" t="s">
        <v>40</v>
      </c>
      <c r="B30" s="280" t="s">
        <v>28</v>
      </c>
      <c r="C30" s="136">
        <f>C31+C32</f>
        <v>812.5</v>
      </c>
      <c r="D30" s="136">
        <f>D31+D32</f>
        <v>731.25</v>
      </c>
      <c r="E30" s="136">
        <f>E31+E32</f>
        <v>73.125</v>
      </c>
      <c r="F30" s="137">
        <f>F31+F32</f>
        <v>8.125</v>
      </c>
    </row>
    <row r="31" spans="1:6" ht="31.5" x14ac:dyDescent="0.25">
      <c r="A31" s="282">
        <v>1</v>
      </c>
      <c r="B31" s="283" t="s">
        <v>494</v>
      </c>
      <c r="C31" s="45">
        <v>187.5</v>
      </c>
      <c r="D31" s="94">
        <f>C31*90%</f>
        <v>168.75</v>
      </c>
      <c r="E31" s="94">
        <f>C31*9%</f>
        <v>16.875</v>
      </c>
      <c r="F31" s="302">
        <f>C31*1%</f>
        <v>1.875</v>
      </c>
    </row>
    <row r="32" spans="1:6" ht="31.5" x14ac:dyDescent="0.25">
      <c r="A32" s="282">
        <v>2</v>
      </c>
      <c r="B32" s="283" t="s">
        <v>495</v>
      </c>
      <c r="C32" s="45">
        <v>625</v>
      </c>
      <c r="D32" s="94">
        <f>C32*90%</f>
        <v>562.5</v>
      </c>
      <c r="E32" s="94">
        <f>C32*9%</f>
        <v>56.25</v>
      </c>
      <c r="F32" s="302">
        <f>C32*1%</f>
        <v>6.25</v>
      </c>
    </row>
    <row r="33" spans="1:6" s="281" customFormat="1" ht="15.75" x14ac:dyDescent="0.25">
      <c r="A33" s="279" t="s">
        <v>51</v>
      </c>
      <c r="B33" s="280" t="s">
        <v>36</v>
      </c>
      <c r="C33" s="136">
        <f>SUM(C34:C37)</f>
        <v>2260</v>
      </c>
      <c r="D33" s="136">
        <f>SUM(D34:D37)</f>
        <v>1742</v>
      </c>
      <c r="E33" s="136">
        <f>SUM(E34:E37)</f>
        <v>339</v>
      </c>
      <c r="F33" s="137">
        <f>SUM(F34:F37)</f>
        <v>179</v>
      </c>
    </row>
    <row r="34" spans="1:6" ht="63" x14ac:dyDescent="0.25">
      <c r="A34" s="285">
        <v>1</v>
      </c>
      <c r="B34" s="286" t="s">
        <v>496</v>
      </c>
      <c r="C34" s="147">
        <f>90+270</f>
        <v>360</v>
      </c>
      <c r="D34" s="147">
        <f>C34*0.7</f>
        <v>251.99999999999997</v>
      </c>
      <c r="E34" s="147">
        <f>C34*0.15</f>
        <v>54</v>
      </c>
      <c r="F34" s="306">
        <f>C34*0.15</f>
        <v>54</v>
      </c>
    </row>
    <row r="35" spans="1:6" ht="47.25" x14ac:dyDescent="0.25">
      <c r="A35" s="285">
        <v>2</v>
      </c>
      <c r="B35" s="286" t="s">
        <v>497</v>
      </c>
      <c r="C35" s="147">
        <v>300</v>
      </c>
      <c r="D35" s="284">
        <f>C35*0.7</f>
        <v>210</v>
      </c>
      <c r="E35" s="284">
        <f>C35*15%</f>
        <v>45</v>
      </c>
      <c r="F35" s="305">
        <f>C35*15%</f>
        <v>45</v>
      </c>
    </row>
    <row r="36" spans="1:6" ht="31.5" x14ac:dyDescent="0.25">
      <c r="A36" s="285">
        <v>3</v>
      </c>
      <c r="B36" s="286" t="s">
        <v>498</v>
      </c>
      <c r="C36" s="147">
        <v>200</v>
      </c>
      <c r="D36" s="284">
        <f>C36*0.8</f>
        <v>160</v>
      </c>
      <c r="E36" s="284">
        <f>C36*15%</f>
        <v>30</v>
      </c>
      <c r="F36" s="305">
        <f>C36*5%</f>
        <v>10</v>
      </c>
    </row>
    <row r="37" spans="1:6" ht="63" x14ac:dyDescent="0.25">
      <c r="A37" s="285">
        <v>4</v>
      </c>
      <c r="B37" s="286" t="s">
        <v>499</v>
      </c>
      <c r="C37" s="141">
        <v>1400</v>
      </c>
      <c r="D37" s="284">
        <f>C37*0.8</f>
        <v>1120</v>
      </c>
      <c r="E37" s="284">
        <f>C37*15%</f>
        <v>210</v>
      </c>
      <c r="F37" s="305">
        <f>C37*5%</f>
        <v>70</v>
      </c>
    </row>
    <row r="38" spans="1:6" s="281" customFormat="1" ht="15.75" x14ac:dyDescent="0.25">
      <c r="A38" s="279" t="s">
        <v>68</v>
      </c>
      <c r="B38" s="280" t="s">
        <v>46</v>
      </c>
      <c r="C38" s="143">
        <f>C39</f>
        <v>800</v>
      </c>
      <c r="D38" s="143">
        <f>D39</f>
        <v>640</v>
      </c>
      <c r="E38" s="143">
        <f>E39</f>
        <v>120</v>
      </c>
      <c r="F38" s="301">
        <f>F39</f>
        <v>40</v>
      </c>
    </row>
    <row r="39" spans="1:6" ht="31.5" x14ac:dyDescent="0.25">
      <c r="A39" s="285">
        <v>1</v>
      </c>
      <c r="B39" s="286" t="s">
        <v>500</v>
      </c>
      <c r="C39" s="141">
        <v>800</v>
      </c>
      <c r="D39" s="284">
        <f>C39*0.8</f>
        <v>640</v>
      </c>
      <c r="E39" s="284">
        <f>C39*0.15</f>
        <v>120</v>
      </c>
      <c r="F39" s="305">
        <f>C39*0.05</f>
        <v>40</v>
      </c>
    </row>
    <row r="40" spans="1:6" s="281" customFormat="1" ht="15.75" x14ac:dyDescent="0.25">
      <c r="A40" s="279" t="s">
        <v>74</v>
      </c>
      <c r="B40" s="280" t="s">
        <v>63</v>
      </c>
      <c r="C40" s="143">
        <f>SUM(C41:C44)</f>
        <v>1720</v>
      </c>
      <c r="D40" s="143">
        <f>SUM(D41:D44)</f>
        <v>1376</v>
      </c>
      <c r="E40" s="143">
        <f>SUM(E41:E44)</f>
        <v>223</v>
      </c>
      <c r="F40" s="301">
        <f>SUM(F41:F44)</f>
        <v>121</v>
      </c>
    </row>
    <row r="41" spans="1:6" ht="47.25" x14ac:dyDescent="0.25">
      <c r="A41" s="285">
        <v>1</v>
      </c>
      <c r="B41" s="286" t="s">
        <v>501</v>
      </c>
      <c r="C41" s="141">
        <v>600</v>
      </c>
      <c r="D41" s="284">
        <f>C41*0.8</f>
        <v>480</v>
      </c>
      <c r="E41" s="284">
        <f>C41*15%</f>
        <v>90</v>
      </c>
      <c r="F41" s="305">
        <f>C41*5%</f>
        <v>30</v>
      </c>
    </row>
    <row r="42" spans="1:6" ht="63" x14ac:dyDescent="0.25">
      <c r="A42" s="285">
        <v>2</v>
      </c>
      <c r="B42" s="286" t="s">
        <v>502</v>
      </c>
      <c r="C42" s="141">
        <v>420</v>
      </c>
      <c r="D42" s="284">
        <f>C42*0.8</f>
        <v>336</v>
      </c>
      <c r="E42" s="284">
        <f>C42*15%</f>
        <v>63</v>
      </c>
      <c r="F42" s="305">
        <f>C42*5%</f>
        <v>21</v>
      </c>
    </row>
    <row r="43" spans="1:6" ht="31.5" x14ac:dyDescent="0.25">
      <c r="A43" s="282">
        <v>3</v>
      </c>
      <c r="B43" s="286" t="s">
        <v>503</v>
      </c>
      <c r="C43" s="147">
        <v>150</v>
      </c>
      <c r="D43" s="284">
        <f>C43*0.8</f>
        <v>120</v>
      </c>
      <c r="E43" s="284">
        <f>C43*10%</f>
        <v>15</v>
      </c>
      <c r="F43" s="305">
        <f>C43*10%</f>
        <v>15</v>
      </c>
    </row>
    <row r="44" spans="1:6" ht="31.5" x14ac:dyDescent="0.25">
      <c r="A44" s="282">
        <v>4</v>
      </c>
      <c r="B44" s="286" t="s">
        <v>504</v>
      </c>
      <c r="C44" s="141">
        <v>550</v>
      </c>
      <c r="D44" s="284">
        <f>C44*0.8</f>
        <v>440</v>
      </c>
      <c r="E44" s="284">
        <f>C44*10%</f>
        <v>55</v>
      </c>
      <c r="F44" s="305">
        <f>C44*10%</f>
        <v>55</v>
      </c>
    </row>
    <row r="45" spans="1:6" s="281" customFormat="1" ht="15.75" x14ac:dyDescent="0.25">
      <c r="A45" s="279" t="s">
        <v>78</v>
      </c>
      <c r="B45" s="280" t="s">
        <v>330</v>
      </c>
      <c r="C45" s="143">
        <f>C46</f>
        <v>900</v>
      </c>
      <c r="D45" s="143">
        <f>D46</f>
        <v>720</v>
      </c>
      <c r="E45" s="143">
        <f>E46</f>
        <v>171</v>
      </c>
      <c r="F45" s="301">
        <f>F46</f>
        <v>9</v>
      </c>
    </row>
    <row r="46" spans="1:6" ht="47.25" x14ac:dyDescent="0.25">
      <c r="A46" s="285">
        <v>1</v>
      </c>
      <c r="B46" s="286" t="s">
        <v>505</v>
      </c>
      <c r="C46" s="141">
        <v>900</v>
      </c>
      <c r="D46" s="284">
        <f>C46*0.8</f>
        <v>720</v>
      </c>
      <c r="E46" s="284">
        <f>C46*19%</f>
        <v>171</v>
      </c>
      <c r="F46" s="305">
        <f>C46*1%</f>
        <v>9</v>
      </c>
    </row>
    <row r="47" spans="1:6" ht="15.75" x14ac:dyDescent="0.25">
      <c r="A47" s="41"/>
      <c r="B47" s="287"/>
      <c r="C47" s="45"/>
      <c r="D47" s="45"/>
      <c r="E47" s="45"/>
      <c r="F47" s="48"/>
    </row>
    <row r="48" spans="1:6" ht="15.75" x14ac:dyDescent="0.25">
      <c r="A48" s="288"/>
      <c r="B48" s="289" t="s">
        <v>506</v>
      </c>
      <c r="C48" s="23">
        <f>C49+C51+C53+C57+C63+C64+C65</f>
        <v>8040.6100000000006</v>
      </c>
      <c r="D48" s="23">
        <f>D49+D51+D53+D57+D63+D64+D65</f>
        <v>5942.1769999999997</v>
      </c>
      <c r="E48" s="23">
        <f>E49+E51+E53+E57+E63+E64+E65</f>
        <v>1361.2470000000001</v>
      </c>
      <c r="F48" s="25">
        <f>F49+F51+F53+F57+F63+F64+F65</f>
        <v>737.18600000000004</v>
      </c>
    </row>
    <row r="49" spans="1:6" ht="15.75" x14ac:dyDescent="0.25">
      <c r="A49" s="66" t="s">
        <v>20</v>
      </c>
      <c r="B49" s="290" t="s">
        <v>22</v>
      </c>
      <c r="C49" s="83">
        <f>C50</f>
        <v>3353.11</v>
      </c>
      <c r="D49" s="83">
        <f>D50</f>
        <v>2347.1770000000001</v>
      </c>
      <c r="E49" s="83">
        <f>E50</f>
        <v>670.62200000000007</v>
      </c>
      <c r="F49" s="84">
        <f>F50</f>
        <v>335.31100000000004</v>
      </c>
    </row>
    <row r="50" spans="1:6" ht="15.75" x14ac:dyDescent="0.25">
      <c r="A50" s="76">
        <v>1</v>
      </c>
      <c r="B50" s="291" t="s">
        <v>507</v>
      </c>
      <c r="C50" s="62">
        <v>3353.11</v>
      </c>
      <c r="D50" s="62">
        <f>C50*70%</f>
        <v>2347.1770000000001</v>
      </c>
      <c r="E50" s="62">
        <f>C50*20%</f>
        <v>670.62200000000007</v>
      </c>
      <c r="F50" s="82">
        <f>C50*10%</f>
        <v>335.31100000000004</v>
      </c>
    </row>
    <row r="51" spans="1:6" ht="15.75" x14ac:dyDescent="0.25">
      <c r="A51" s="66" t="s">
        <v>40</v>
      </c>
      <c r="B51" s="292" t="s">
        <v>508</v>
      </c>
      <c r="C51" s="83">
        <f>C52</f>
        <v>125</v>
      </c>
      <c r="D51" s="83">
        <f>D52</f>
        <v>100</v>
      </c>
      <c r="E51" s="83">
        <f>E52</f>
        <v>18.75</v>
      </c>
      <c r="F51" s="84">
        <f>F52</f>
        <v>6.25</v>
      </c>
    </row>
    <row r="52" spans="1:6" ht="63" x14ac:dyDescent="0.25">
      <c r="A52" s="76">
        <v>1</v>
      </c>
      <c r="B52" s="293" t="s">
        <v>509</v>
      </c>
      <c r="C52" s="60">
        <v>125</v>
      </c>
      <c r="D52" s="60">
        <f>C52*80%</f>
        <v>100</v>
      </c>
      <c r="E52" s="60">
        <f>C52*15%</f>
        <v>18.75</v>
      </c>
      <c r="F52" s="64">
        <f>C52*5%</f>
        <v>6.25</v>
      </c>
    </row>
    <row r="53" spans="1:6" ht="15.75" x14ac:dyDescent="0.25">
      <c r="A53" s="66" t="s">
        <v>51</v>
      </c>
      <c r="B53" s="290" t="s">
        <v>36</v>
      </c>
      <c r="C53" s="83">
        <f>SUM(C54:C56)</f>
        <v>1650</v>
      </c>
      <c r="D53" s="83">
        <f>SUM(D54:D56)</f>
        <v>1155</v>
      </c>
      <c r="E53" s="83">
        <f>SUM(E54:E56)</f>
        <v>247.5</v>
      </c>
      <c r="F53" s="84">
        <f>SUM(F54:F56)</f>
        <v>247.5</v>
      </c>
    </row>
    <row r="54" spans="1:6" ht="47.25" x14ac:dyDescent="0.25">
      <c r="A54" s="76">
        <v>1</v>
      </c>
      <c r="B54" s="294" t="s">
        <v>510</v>
      </c>
      <c r="C54" s="62">
        <v>375</v>
      </c>
      <c r="D54" s="60">
        <f>C54*70%</f>
        <v>262.5</v>
      </c>
      <c r="E54" s="60">
        <f>C54*15%</f>
        <v>56.25</v>
      </c>
      <c r="F54" s="64">
        <f>C54*15%</f>
        <v>56.25</v>
      </c>
    </row>
    <row r="55" spans="1:6" ht="78.75" x14ac:dyDescent="0.25">
      <c r="A55" s="76">
        <v>2</v>
      </c>
      <c r="B55" s="295" t="s">
        <v>511</v>
      </c>
      <c r="C55" s="62">
        <v>1125</v>
      </c>
      <c r="D55" s="60">
        <f>C55*70%</f>
        <v>787.5</v>
      </c>
      <c r="E55" s="60">
        <f>C55*15%</f>
        <v>168.75</v>
      </c>
      <c r="F55" s="64">
        <f>C55*15%</f>
        <v>168.75</v>
      </c>
    </row>
    <row r="56" spans="1:6" ht="31.5" x14ac:dyDescent="0.25">
      <c r="A56" s="76">
        <v>3</v>
      </c>
      <c r="B56" s="294" t="s">
        <v>512</v>
      </c>
      <c r="C56" s="62">
        <v>150</v>
      </c>
      <c r="D56" s="60">
        <f>C56*70%</f>
        <v>105</v>
      </c>
      <c r="E56" s="60">
        <f>C56*15%</f>
        <v>22.5</v>
      </c>
      <c r="F56" s="64">
        <f>C56*15%</f>
        <v>22.5</v>
      </c>
    </row>
    <row r="57" spans="1:6" ht="15.75" x14ac:dyDescent="0.25">
      <c r="A57" s="66" t="s">
        <v>68</v>
      </c>
      <c r="B57" s="290" t="s">
        <v>513</v>
      </c>
      <c r="C57" s="83">
        <f>SUM(C58:C62)</f>
        <v>2412.5</v>
      </c>
      <c r="D57" s="83">
        <f>SUM(D58:D62)</f>
        <v>1930</v>
      </c>
      <c r="E57" s="83">
        <f>SUM(E58:E62)</f>
        <v>361.875</v>
      </c>
      <c r="F57" s="84">
        <f>SUM(F58:F62)</f>
        <v>120.625</v>
      </c>
    </row>
    <row r="58" spans="1:6" ht="31.5" x14ac:dyDescent="0.25">
      <c r="A58" s="76">
        <v>1</v>
      </c>
      <c r="B58" s="291" t="s">
        <v>514</v>
      </c>
      <c r="C58" s="62">
        <v>187.5</v>
      </c>
      <c r="D58" s="60">
        <f t="shared" ref="D58:D63" si="0">C58*80%</f>
        <v>150</v>
      </c>
      <c r="E58" s="60">
        <f>C58*15%</f>
        <v>28.125</v>
      </c>
      <c r="F58" s="64">
        <f>C58*5%</f>
        <v>9.375</v>
      </c>
    </row>
    <row r="59" spans="1:6" ht="31.5" x14ac:dyDescent="0.25">
      <c r="A59" s="76">
        <v>2</v>
      </c>
      <c r="B59" s="291" t="s">
        <v>515</v>
      </c>
      <c r="C59" s="62">
        <v>187.5</v>
      </c>
      <c r="D59" s="60">
        <f t="shared" si="0"/>
        <v>150</v>
      </c>
      <c r="E59" s="60">
        <f>C59*15%</f>
        <v>28.125</v>
      </c>
      <c r="F59" s="64">
        <f>C59*5%</f>
        <v>9.375</v>
      </c>
    </row>
    <row r="60" spans="1:6" ht="47.25" x14ac:dyDescent="0.25">
      <c r="A60" s="76">
        <v>3</v>
      </c>
      <c r="B60" s="291" t="s">
        <v>516</v>
      </c>
      <c r="C60" s="62">
        <v>187.5</v>
      </c>
      <c r="D60" s="60">
        <f t="shared" si="0"/>
        <v>150</v>
      </c>
      <c r="E60" s="60">
        <f>C60*15%</f>
        <v>28.125</v>
      </c>
      <c r="F60" s="64">
        <f>C60*5%</f>
        <v>9.375</v>
      </c>
    </row>
    <row r="61" spans="1:6" ht="31.5" x14ac:dyDescent="0.25">
      <c r="A61" s="76">
        <v>4</v>
      </c>
      <c r="B61" s="291" t="s">
        <v>517</v>
      </c>
      <c r="C61" s="62">
        <v>1100</v>
      </c>
      <c r="D61" s="60">
        <f t="shared" si="0"/>
        <v>880</v>
      </c>
      <c r="E61" s="60">
        <f>C61*15%</f>
        <v>165</v>
      </c>
      <c r="F61" s="64">
        <f>C61*5%</f>
        <v>55</v>
      </c>
    </row>
    <row r="62" spans="1:6" ht="78.75" x14ac:dyDescent="0.25">
      <c r="A62" s="76">
        <v>5</v>
      </c>
      <c r="B62" s="291" t="s">
        <v>518</v>
      </c>
      <c r="C62" s="62">
        <v>750</v>
      </c>
      <c r="D62" s="60">
        <f t="shared" si="0"/>
        <v>600</v>
      </c>
      <c r="E62" s="60">
        <f>C62*15%</f>
        <v>112.5</v>
      </c>
      <c r="F62" s="64">
        <f>C62*5%</f>
        <v>37.5</v>
      </c>
    </row>
    <row r="63" spans="1:6" ht="47.25" x14ac:dyDescent="0.25">
      <c r="A63" s="66" t="s">
        <v>74</v>
      </c>
      <c r="B63" s="290" t="s">
        <v>519</v>
      </c>
      <c r="C63" s="83">
        <v>250</v>
      </c>
      <c r="D63" s="83">
        <f t="shared" si="0"/>
        <v>200</v>
      </c>
      <c r="E63" s="83">
        <f>C63*10%</f>
        <v>25</v>
      </c>
      <c r="F63" s="84">
        <f>C63*10%</f>
        <v>25</v>
      </c>
    </row>
    <row r="64" spans="1:6" ht="15.75" x14ac:dyDescent="0.25">
      <c r="A64" s="66" t="s">
        <v>78</v>
      </c>
      <c r="B64" s="290" t="s">
        <v>330</v>
      </c>
      <c r="C64" s="83">
        <v>150</v>
      </c>
      <c r="D64" s="83">
        <f>C64*80%</f>
        <v>120</v>
      </c>
      <c r="E64" s="83">
        <f>C64*19%</f>
        <v>28.5</v>
      </c>
      <c r="F64" s="84">
        <f>C64*1%</f>
        <v>1.5</v>
      </c>
    </row>
    <row r="65" spans="1:6" ht="15.75" x14ac:dyDescent="0.25">
      <c r="A65" s="66" t="s">
        <v>99</v>
      </c>
      <c r="B65" s="290" t="s">
        <v>520</v>
      </c>
      <c r="C65" s="83">
        <v>100</v>
      </c>
      <c r="D65" s="83">
        <f>C65*90%</f>
        <v>90</v>
      </c>
      <c r="E65" s="83">
        <f>C65*9%</f>
        <v>9</v>
      </c>
      <c r="F65" s="84">
        <f>C65*1%</f>
        <v>1</v>
      </c>
    </row>
    <row r="66" spans="1:6" ht="16.5" thickBot="1" x14ac:dyDescent="0.3">
      <c r="A66" s="296"/>
      <c r="B66" s="297"/>
      <c r="C66" s="298"/>
      <c r="D66" s="298"/>
      <c r="E66" s="298"/>
      <c r="F66" s="307"/>
    </row>
    <row r="67" spans="1:6" ht="15.75" thickTop="1" x14ac:dyDescent="0.25"/>
  </sheetData>
  <mergeCells count="7">
    <mergeCell ref="A3:F3"/>
    <mergeCell ref="A4:F5"/>
    <mergeCell ref="A7:A8"/>
    <mergeCell ref="B7:B8"/>
    <mergeCell ref="C7:C8"/>
    <mergeCell ref="D7:F7"/>
    <mergeCell ref="A6:F6"/>
  </mergeCells>
  <pageMargins left="0.96" right="0.48"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9"/>
  <sheetViews>
    <sheetView workbookViewId="0">
      <selection sqref="A1:P1"/>
    </sheetView>
  </sheetViews>
  <sheetFormatPr defaultRowHeight="15.75" x14ac:dyDescent="0.25"/>
  <cols>
    <col min="1" max="1" width="5.140625" style="101" bestFit="1" customWidth="1"/>
    <col min="2" max="2" width="38.85546875" style="1" bestFit="1" customWidth="1"/>
    <col min="3" max="3" width="12.42578125" style="101" customWidth="1"/>
    <col min="4" max="4" width="9.42578125" style="1" bestFit="1" customWidth="1"/>
    <col min="5" max="5" width="11.7109375" style="113" customWidth="1"/>
    <col min="6" max="6" width="11.28515625" style="1" bestFit="1" customWidth="1"/>
    <col min="7" max="8" width="10.7109375" style="6" hidden="1" customWidth="1"/>
    <col min="9" max="10" width="11.28515625" style="1" bestFit="1" customWidth="1"/>
    <col min="11" max="11" width="11" style="1" bestFit="1" customWidth="1"/>
    <col min="12" max="12" width="12" style="1" customWidth="1"/>
    <col min="13" max="13" width="11.7109375" style="1" customWidth="1"/>
    <col min="14" max="14" width="11.28515625" style="1" bestFit="1" customWidth="1"/>
    <col min="15" max="16" width="10.140625" style="1" bestFit="1" customWidth="1"/>
    <col min="17" max="17" width="11" style="49" bestFit="1" customWidth="1"/>
    <col min="18" max="18" width="10.140625" style="102" bestFit="1" customWidth="1"/>
    <col min="19" max="20" width="9.140625" style="102"/>
    <col min="21" max="16384" width="9.140625" style="1"/>
  </cols>
  <sheetData>
    <row r="1" spans="1:20" x14ac:dyDescent="0.25">
      <c r="A1" s="344" t="s">
        <v>531</v>
      </c>
      <c r="B1" s="344"/>
      <c r="C1" s="344"/>
      <c r="D1" s="344"/>
      <c r="E1" s="344"/>
      <c r="F1" s="344"/>
      <c r="G1" s="344"/>
      <c r="H1" s="344"/>
      <c r="I1" s="344"/>
      <c r="J1" s="344"/>
      <c r="K1" s="344"/>
      <c r="L1" s="344"/>
      <c r="M1" s="344"/>
      <c r="N1" s="344"/>
      <c r="O1" s="344"/>
      <c r="P1" s="344"/>
    </row>
    <row r="2" spans="1:20" ht="34.5" customHeight="1" x14ac:dyDescent="0.25">
      <c r="A2" s="346" t="s">
        <v>471</v>
      </c>
      <c r="B2" s="346"/>
      <c r="C2" s="346"/>
      <c r="D2" s="346"/>
      <c r="E2" s="346"/>
      <c r="F2" s="346"/>
      <c r="G2" s="346"/>
      <c r="H2" s="346"/>
      <c r="I2" s="346"/>
      <c r="J2" s="346"/>
      <c r="K2" s="346"/>
      <c r="L2" s="346"/>
      <c r="M2" s="346"/>
      <c r="N2" s="346"/>
      <c r="O2" s="346"/>
      <c r="P2" s="346"/>
      <c r="Q2" s="10"/>
    </row>
    <row r="3" spans="1:20" s="59" customFormat="1" x14ac:dyDescent="0.25">
      <c r="A3" s="335" t="s">
        <v>289</v>
      </c>
      <c r="B3" s="335"/>
      <c r="C3" s="335"/>
      <c r="D3" s="335"/>
      <c r="E3" s="335"/>
      <c r="F3" s="335"/>
      <c r="G3" s="335"/>
      <c r="H3" s="335"/>
      <c r="I3" s="335"/>
      <c r="J3" s="335"/>
      <c r="K3" s="335"/>
      <c r="L3" s="335"/>
      <c r="M3" s="335"/>
      <c r="N3" s="335"/>
      <c r="O3" s="335"/>
      <c r="P3" s="335"/>
      <c r="Q3" s="152"/>
      <c r="R3" s="107"/>
      <c r="S3" s="107"/>
      <c r="T3" s="107"/>
    </row>
    <row r="4" spans="1:20" ht="16.5" thickBot="1" x14ac:dyDescent="0.3">
      <c r="A4" s="2"/>
      <c r="B4" s="3"/>
      <c r="C4" s="2"/>
      <c r="D4" s="4"/>
      <c r="E4" s="4"/>
      <c r="F4" s="5"/>
      <c r="I4" s="7"/>
      <c r="J4" s="7"/>
      <c r="K4" s="7"/>
      <c r="L4" s="347" t="s">
        <v>0</v>
      </c>
      <c r="M4" s="347"/>
      <c r="N4" s="347"/>
      <c r="O4" s="347"/>
      <c r="P4" s="347"/>
      <c r="Q4" s="8"/>
    </row>
    <row r="5" spans="1:20" ht="16.5" thickTop="1" x14ac:dyDescent="0.25">
      <c r="A5" s="348" t="s">
        <v>1</v>
      </c>
      <c r="B5" s="350" t="s">
        <v>2</v>
      </c>
      <c r="C5" s="352" t="s">
        <v>3</v>
      </c>
      <c r="D5" s="323" t="s">
        <v>4</v>
      </c>
      <c r="E5" s="323" t="s">
        <v>5</v>
      </c>
      <c r="F5" s="354" t="s">
        <v>6</v>
      </c>
      <c r="G5" s="354"/>
      <c r="H5" s="354"/>
      <c r="I5" s="354"/>
      <c r="J5" s="354"/>
      <c r="K5" s="354"/>
      <c r="L5" s="354" t="s">
        <v>7</v>
      </c>
      <c r="M5" s="354"/>
      <c r="N5" s="354"/>
      <c r="O5" s="354"/>
      <c r="P5" s="356"/>
      <c r="Q5" s="9"/>
    </row>
    <row r="6" spans="1:20" x14ac:dyDescent="0.25">
      <c r="A6" s="349"/>
      <c r="B6" s="351"/>
      <c r="C6" s="353"/>
      <c r="D6" s="325"/>
      <c r="E6" s="325"/>
      <c r="F6" s="325" t="s">
        <v>472</v>
      </c>
      <c r="G6" s="345" t="s">
        <v>8</v>
      </c>
      <c r="H6" s="345" t="s">
        <v>9</v>
      </c>
      <c r="I6" s="325" t="s">
        <v>10</v>
      </c>
      <c r="J6" s="325" t="s">
        <v>11</v>
      </c>
      <c r="K6" s="325" t="s">
        <v>12</v>
      </c>
      <c r="L6" s="325" t="s">
        <v>464</v>
      </c>
      <c r="M6" s="325" t="s">
        <v>14</v>
      </c>
      <c r="N6" s="325" t="s">
        <v>15</v>
      </c>
      <c r="O6" s="325" t="s">
        <v>16</v>
      </c>
      <c r="P6" s="334" t="s">
        <v>17</v>
      </c>
      <c r="Q6" s="10"/>
    </row>
    <row r="7" spans="1:20" x14ac:dyDescent="0.25">
      <c r="A7" s="349"/>
      <c r="B7" s="351"/>
      <c r="C7" s="353"/>
      <c r="D7" s="325"/>
      <c r="E7" s="325"/>
      <c r="F7" s="325"/>
      <c r="G7" s="345"/>
      <c r="H7" s="345"/>
      <c r="I7" s="325"/>
      <c r="J7" s="325"/>
      <c r="K7" s="325"/>
      <c r="L7" s="325"/>
      <c r="M7" s="325"/>
      <c r="N7" s="325"/>
      <c r="O7" s="325"/>
      <c r="P7" s="334"/>
      <c r="Q7" s="10"/>
    </row>
    <row r="8" spans="1:20" s="18" customFormat="1" x14ac:dyDescent="0.25">
      <c r="A8" s="11" t="s">
        <v>18</v>
      </c>
      <c r="B8" s="12" t="s">
        <v>19</v>
      </c>
      <c r="C8" s="13"/>
      <c r="D8" s="14"/>
      <c r="E8" s="14"/>
      <c r="F8" s="15">
        <f>F9+F24+F34+F51+F60+F64+F81+F93+F103+F118+F135+F153+F170+F200+F235</f>
        <v>80883.846285714273</v>
      </c>
      <c r="G8" s="15"/>
      <c r="H8" s="15"/>
      <c r="I8" s="15">
        <f t="shared" ref="I8:P8" si="0">I9+I24+I34+I51+I60+I64+I81+I93+I103+I118+I135+I153+I170+I200+I235</f>
        <v>48430.362285714291</v>
      </c>
      <c r="J8" s="15">
        <f t="shared" si="0"/>
        <v>25784.447999999997</v>
      </c>
      <c r="K8" s="15">
        <f t="shared" si="0"/>
        <v>6032.6360000000004</v>
      </c>
      <c r="L8" s="15">
        <f t="shared" si="0"/>
        <v>80883.846285714273</v>
      </c>
      <c r="M8" s="15">
        <f t="shared" si="0"/>
        <v>52772.279300000002</v>
      </c>
      <c r="N8" s="15">
        <f t="shared" si="0"/>
        <v>22940.61860714286</v>
      </c>
      <c r="O8" s="15">
        <f t="shared" si="0"/>
        <v>2877.0711785714284</v>
      </c>
      <c r="P8" s="16">
        <f t="shared" si="0"/>
        <v>2293.8771999999999</v>
      </c>
      <c r="Q8" s="17"/>
      <c r="R8" s="103"/>
      <c r="S8" s="103"/>
      <c r="T8" s="103"/>
    </row>
    <row r="9" spans="1:20" x14ac:dyDescent="0.25">
      <c r="A9" s="19" t="s">
        <v>20</v>
      </c>
      <c r="B9" s="20" t="s">
        <v>21</v>
      </c>
      <c r="C9" s="21"/>
      <c r="D9" s="22"/>
      <c r="E9" s="22"/>
      <c r="F9" s="23">
        <f>F10+F15+F21</f>
        <v>3719.1689999999999</v>
      </c>
      <c r="G9" s="24"/>
      <c r="H9" s="24"/>
      <c r="I9" s="23">
        <f t="shared" ref="I9:P9" si="1">I10+I15+I21</f>
        <v>2195.797</v>
      </c>
      <c r="J9" s="23">
        <f t="shared" si="1"/>
        <v>1523.3719999999998</v>
      </c>
      <c r="K9" s="23">
        <f t="shared" si="1"/>
        <v>0</v>
      </c>
      <c r="L9" s="23">
        <f t="shared" si="1"/>
        <v>3719.1689999999999</v>
      </c>
      <c r="M9" s="23">
        <f t="shared" si="1"/>
        <v>2146.4067</v>
      </c>
      <c r="N9" s="23">
        <f t="shared" si="1"/>
        <v>1433.6774</v>
      </c>
      <c r="O9" s="23">
        <f t="shared" si="1"/>
        <v>80.494799999999998</v>
      </c>
      <c r="P9" s="25">
        <f t="shared" si="1"/>
        <v>58.590100000000007</v>
      </c>
      <c r="Q9" s="9"/>
    </row>
    <row r="10" spans="1:20" x14ac:dyDescent="0.25">
      <c r="A10" s="26">
        <v>1</v>
      </c>
      <c r="B10" s="27" t="s">
        <v>22</v>
      </c>
      <c r="C10" s="28"/>
      <c r="D10" s="29"/>
      <c r="E10" s="29"/>
      <c r="F10" s="30">
        <f t="shared" ref="F10:P10" si="2">F11</f>
        <v>1523.3719999999998</v>
      </c>
      <c r="G10" s="24">
        <f t="shared" si="2"/>
        <v>0</v>
      </c>
      <c r="H10" s="24">
        <f t="shared" si="2"/>
        <v>0</v>
      </c>
      <c r="I10" s="30">
        <f t="shared" si="2"/>
        <v>0</v>
      </c>
      <c r="J10" s="30">
        <f t="shared" si="2"/>
        <v>1523.3719999999998</v>
      </c>
      <c r="K10" s="30">
        <f t="shared" si="2"/>
        <v>0</v>
      </c>
      <c r="L10" s="30">
        <f t="shared" si="2"/>
        <v>1523.3719999999998</v>
      </c>
      <c r="M10" s="30">
        <f t="shared" si="2"/>
        <v>609.34879999999998</v>
      </c>
      <c r="N10" s="30">
        <f t="shared" si="2"/>
        <v>914.02319999999997</v>
      </c>
      <c r="O10" s="30">
        <f t="shared" si="2"/>
        <v>0</v>
      </c>
      <c r="P10" s="31">
        <f t="shared" si="2"/>
        <v>0</v>
      </c>
      <c r="Q10" s="9"/>
    </row>
    <row r="11" spans="1:20" s="40" customFormat="1" x14ac:dyDescent="0.25">
      <c r="A11" s="32"/>
      <c r="B11" s="33" t="s">
        <v>23</v>
      </c>
      <c r="C11" s="34"/>
      <c r="D11" s="35"/>
      <c r="E11" s="35"/>
      <c r="F11" s="36">
        <f>SUM(F12:F14)</f>
        <v>1523.3719999999998</v>
      </c>
      <c r="G11" s="37"/>
      <c r="H11" s="37"/>
      <c r="I11" s="36">
        <f t="shared" ref="I11:P11" si="3">SUM(I12:I14)</f>
        <v>0</v>
      </c>
      <c r="J11" s="36">
        <f t="shared" si="3"/>
        <v>1523.3719999999998</v>
      </c>
      <c r="K11" s="36">
        <f t="shared" si="3"/>
        <v>0</v>
      </c>
      <c r="L11" s="36">
        <f t="shared" si="3"/>
        <v>1523.3719999999998</v>
      </c>
      <c r="M11" s="36">
        <f t="shared" si="3"/>
        <v>609.34879999999998</v>
      </c>
      <c r="N11" s="36">
        <f t="shared" si="3"/>
        <v>914.02319999999997</v>
      </c>
      <c r="O11" s="36">
        <f t="shared" si="3"/>
        <v>0</v>
      </c>
      <c r="P11" s="38">
        <f t="shared" si="3"/>
        <v>0</v>
      </c>
      <c r="Q11" s="39"/>
      <c r="R11" s="104"/>
      <c r="S11" s="104"/>
      <c r="T11" s="104"/>
    </row>
    <row r="12" spans="1:20" s="120" customFormat="1" ht="47.25" x14ac:dyDescent="0.25">
      <c r="A12" s="115"/>
      <c r="B12" s="236" t="s">
        <v>24</v>
      </c>
      <c r="C12" s="237">
        <v>0.22500000000000001</v>
      </c>
      <c r="D12" s="238" t="s">
        <v>25</v>
      </c>
      <c r="E12" s="238" t="s">
        <v>468</v>
      </c>
      <c r="F12" s="118">
        <f>H12+I12+J12+K12</f>
        <v>337.5</v>
      </c>
      <c r="G12" s="239"/>
      <c r="H12" s="239"/>
      <c r="I12" s="118"/>
      <c r="J12" s="118">
        <v>337.5</v>
      </c>
      <c r="K12" s="118"/>
      <c r="L12" s="240">
        <v>337.5</v>
      </c>
      <c r="M12" s="240">
        <f>L12*40%</f>
        <v>135</v>
      </c>
      <c r="N12" s="118">
        <f>L12*60%</f>
        <v>202.5</v>
      </c>
      <c r="O12" s="118"/>
      <c r="P12" s="119"/>
      <c r="Q12" s="103"/>
      <c r="R12" s="241"/>
      <c r="S12" s="241"/>
      <c r="T12" s="241"/>
    </row>
    <row r="13" spans="1:20" s="120" customFormat="1" ht="47.25" x14ac:dyDescent="0.25">
      <c r="A13" s="115" t="s">
        <v>26</v>
      </c>
      <c r="B13" s="236" t="s">
        <v>458</v>
      </c>
      <c r="C13" s="237">
        <v>0.45600000000000002</v>
      </c>
      <c r="D13" s="238" t="s">
        <v>25</v>
      </c>
      <c r="E13" s="238" t="s">
        <v>468</v>
      </c>
      <c r="F13" s="240">
        <v>765.87199999999996</v>
      </c>
      <c r="G13" s="240">
        <v>765.87199999999996</v>
      </c>
      <c r="H13" s="240">
        <v>765.87199999999996</v>
      </c>
      <c r="I13" s="240"/>
      <c r="J13" s="240">
        <v>765.87199999999996</v>
      </c>
      <c r="K13" s="118"/>
      <c r="L13" s="240">
        <v>765.87199999999996</v>
      </c>
      <c r="M13" s="240">
        <f>L13*40%</f>
        <v>306.34879999999998</v>
      </c>
      <c r="N13" s="118">
        <f>L13*60%</f>
        <v>459.52319999999997</v>
      </c>
      <c r="O13" s="118"/>
      <c r="P13" s="119"/>
      <c r="Q13" s="103"/>
      <c r="R13" s="241"/>
      <c r="S13" s="241"/>
      <c r="T13" s="241"/>
    </row>
    <row r="14" spans="1:20" s="120" customFormat="1" ht="47.25" x14ac:dyDescent="0.25">
      <c r="A14" s="115"/>
      <c r="B14" s="236" t="s">
        <v>27</v>
      </c>
      <c r="C14" s="237">
        <v>0.28000000000000003</v>
      </c>
      <c r="D14" s="238" t="s">
        <v>25</v>
      </c>
      <c r="E14" s="238" t="s">
        <v>468</v>
      </c>
      <c r="F14" s="118">
        <f>H14+I14+J14+K14</f>
        <v>420</v>
      </c>
      <c r="G14" s="239"/>
      <c r="H14" s="239"/>
      <c r="I14" s="118"/>
      <c r="J14" s="118">
        <f>L14</f>
        <v>420</v>
      </c>
      <c r="K14" s="118"/>
      <c r="L14" s="240">
        <v>420</v>
      </c>
      <c r="M14" s="240">
        <f>L14*40%</f>
        <v>168</v>
      </c>
      <c r="N14" s="118">
        <f>L14*60%</f>
        <v>252</v>
      </c>
      <c r="O14" s="118"/>
      <c r="P14" s="119"/>
      <c r="Q14" s="103"/>
      <c r="R14" s="241"/>
      <c r="S14" s="241"/>
      <c r="T14" s="241"/>
    </row>
    <row r="15" spans="1:20" x14ac:dyDescent="0.25">
      <c r="A15" s="26">
        <v>2</v>
      </c>
      <c r="B15" s="27" t="s">
        <v>28</v>
      </c>
      <c r="C15" s="28"/>
      <c r="D15" s="29"/>
      <c r="E15" s="29"/>
      <c r="F15" s="30">
        <f t="shared" ref="F15:K15" si="4">F16</f>
        <v>1609.896</v>
      </c>
      <c r="G15" s="24">
        <f t="shared" si="4"/>
        <v>0</v>
      </c>
      <c r="H15" s="24">
        <f t="shared" si="4"/>
        <v>0</v>
      </c>
      <c r="I15" s="30">
        <f t="shared" si="4"/>
        <v>1609.896</v>
      </c>
      <c r="J15" s="30">
        <f t="shared" si="4"/>
        <v>0</v>
      </c>
      <c r="K15" s="30">
        <f t="shared" si="4"/>
        <v>0</v>
      </c>
      <c r="L15" s="30">
        <f>L16</f>
        <v>1609.896</v>
      </c>
      <c r="M15" s="30">
        <f>SUM(M16:M16)</f>
        <v>1126.9271999999999</v>
      </c>
      <c r="N15" s="30">
        <f>SUM(N16:N16)</f>
        <v>402.47399999999999</v>
      </c>
      <c r="O15" s="30">
        <f>SUM(O16:O16)</f>
        <v>80.494799999999998</v>
      </c>
      <c r="P15" s="31">
        <f>SUM(P16:P16)</f>
        <v>0</v>
      </c>
      <c r="Q15" s="9"/>
    </row>
    <row r="16" spans="1:20" s="40" customFormat="1" x14ac:dyDescent="0.25">
      <c r="A16" s="32" t="s">
        <v>26</v>
      </c>
      <c r="B16" s="50" t="s">
        <v>29</v>
      </c>
      <c r="C16" s="34">
        <v>1.3</v>
      </c>
      <c r="D16" s="35" t="s">
        <v>25</v>
      </c>
      <c r="E16" s="35"/>
      <c r="F16" s="36">
        <f>SUM(F17:F20)</f>
        <v>1609.896</v>
      </c>
      <c r="G16" s="37"/>
      <c r="H16" s="37"/>
      <c r="I16" s="36">
        <f t="shared" ref="I16:K16" si="5">SUM(I17:I20)</f>
        <v>1609.896</v>
      </c>
      <c r="J16" s="36">
        <f t="shared" si="5"/>
        <v>0</v>
      </c>
      <c r="K16" s="36">
        <f t="shared" si="5"/>
        <v>0</v>
      </c>
      <c r="L16" s="36">
        <f>SUM(L17:L20)</f>
        <v>1609.896</v>
      </c>
      <c r="M16" s="36">
        <f>M17+M18+M19+M20</f>
        <v>1126.9271999999999</v>
      </c>
      <c r="N16" s="36">
        <f>N17+N18+N19+N20</f>
        <v>402.47399999999999</v>
      </c>
      <c r="O16" s="36">
        <f>O17+O18+O19+O20</f>
        <v>80.494799999999998</v>
      </c>
      <c r="P16" s="38">
        <v>0</v>
      </c>
      <c r="Q16" s="39"/>
      <c r="R16" s="104"/>
      <c r="S16" s="104"/>
      <c r="T16" s="104"/>
    </row>
    <row r="17" spans="1:20" ht="31.5" x14ac:dyDescent="0.25">
      <c r="A17" s="41"/>
      <c r="B17" s="42" t="s">
        <v>30</v>
      </c>
      <c r="C17" s="43">
        <v>0.41599999999999998</v>
      </c>
      <c r="D17" s="44" t="s">
        <v>25</v>
      </c>
      <c r="E17" s="44" t="s">
        <v>31</v>
      </c>
      <c r="F17" s="45">
        <f>H17+I17+J17+K17</f>
        <v>416</v>
      </c>
      <c r="G17" s="46"/>
      <c r="H17" s="46"/>
      <c r="I17" s="45">
        <v>416</v>
      </c>
      <c r="J17" s="45"/>
      <c r="K17" s="45"/>
      <c r="L17" s="45">
        <v>416</v>
      </c>
      <c r="M17" s="45">
        <f>L17*70%</f>
        <v>291.2</v>
      </c>
      <c r="N17" s="45">
        <f>L17*25%</f>
        <v>104</v>
      </c>
      <c r="O17" s="45">
        <f>L17*5%</f>
        <v>20.8</v>
      </c>
      <c r="P17" s="48"/>
    </row>
    <row r="18" spans="1:20" ht="31.5" x14ac:dyDescent="0.25">
      <c r="A18" s="41"/>
      <c r="B18" s="42" t="s">
        <v>32</v>
      </c>
      <c r="C18" s="43">
        <v>0.41499999999999998</v>
      </c>
      <c r="D18" s="44" t="s">
        <v>25</v>
      </c>
      <c r="E18" s="44" t="s">
        <v>33</v>
      </c>
      <c r="F18" s="45">
        <f>H18+I18+J18+K18</f>
        <v>374</v>
      </c>
      <c r="G18" s="46"/>
      <c r="H18" s="46"/>
      <c r="I18" s="45">
        <v>374</v>
      </c>
      <c r="J18" s="45"/>
      <c r="K18" s="45"/>
      <c r="L18" s="45">
        <v>374</v>
      </c>
      <c r="M18" s="45">
        <f>L18*70%</f>
        <v>261.8</v>
      </c>
      <c r="N18" s="45">
        <f>L18*25%</f>
        <v>93.5</v>
      </c>
      <c r="O18" s="45">
        <f>L18*5%</f>
        <v>18.7</v>
      </c>
      <c r="P18" s="48"/>
    </row>
    <row r="19" spans="1:20" ht="31.5" x14ac:dyDescent="0.25">
      <c r="A19" s="41"/>
      <c r="B19" s="42" t="s">
        <v>34</v>
      </c>
      <c r="C19" s="43">
        <v>0.52</v>
      </c>
      <c r="D19" s="44" t="s">
        <v>25</v>
      </c>
      <c r="E19" s="44" t="s">
        <v>31</v>
      </c>
      <c r="F19" s="45">
        <v>531.89599999999996</v>
      </c>
      <c r="G19" s="46"/>
      <c r="H19" s="46"/>
      <c r="I19" s="45">
        <v>531.89599999999996</v>
      </c>
      <c r="J19" s="45"/>
      <c r="K19" s="45"/>
      <c r="L19" s="45">
        <f>572-40.104</f>
        <v>531.89599999999996</v>
      </c>
      <c r="M19" s="45">
        <f>L19*70%</f>
        <v>372.32719999999995</v>
      </c>
      <c r="N19" s="45">
        <f>L19*25%</f>
        <v>132.97399999999999</v>
      </c>
      <c r="O19" s="45">
        <f>L19*5%</f>
        <v>26.594799999999999</v>
      </c>
      <c r="P19" s="48"/>
    </row>
    <row r="20" spans="1:20" ht="31.5" x14ac:dyDescent="0.25">
      <c r="A20" s="41"/>
      <c r="B20" s="42" t="s">
        <v>35</v>
      </c>
      <c r="C20" s="43">
        <v>0.32</v>
      </c>
      <c r="D20" s="44" t="s">
        <v>25</v>
      </c>
      <c r="E20" s="44" t="s">
        <v>31</v>
      </c>
      <c r="F20" s="45">
        <f>H20+I20+J20+K20</f>
        <v>288</v>
      </c>
      <c r="G20" s="46"/>
      <c r="H20" s="46"/>
      <c r="I20" s="45">
        <v>288</v>
      </c>
      <c r="J20" s="45"/>
      <c r="K20" s="45"/>
      <c r="L20" s="45">
        <v>288</v>
      </c>
      <c r="M20" s="45">
        <f>L20*70%</f>
        <v>201.6</v>
      </c>
      <c r="N20" s="45">
        <f>L20*25%</f>
        <v>72</v>
      </c>
      <c r="O20" s="45">
        <f>L20*5%</f>
        <v>14.4</v>
      </c>
      <c r="P20" s="48"/>
    </row>
    <row r="21" spans="1:20" x14ac:dyDescent="0.25">
      <c r="A21" s="26">
        <v>4</v>
      </c>
      <c r="B21" s="27" t="s">
        <v>36</v>
      </c>
      <c r="C21" s="28"/>
      <c r="D21" s="29"/>
      <c r="E21" s="29"/>
      <c r="F21" s="30">
        <f>F22</f>
        <v>585.90100000000007</v>
      </c>
      <c r="G21" s="24">
        <f t="shared" ref="G21:P21" si="6">G22</f>
        <v>0</v>
      </c>
      <c r="H21" s="24">
        <f t="shared" si="6"/>
        <v>0</v>
      </c>
      <c r="I21" s="30">
        <f t="shared" si="6"/>
        <v>585.90100000000007</v>
      </c>
      <c r="J21" s="30">
        <f t="shared" si="6"/>
        <v>0</v>
      </c>
      <c r="K21" s="30">
        <f t="shared" si="6"/>
        <v>0</v>
      </c>
      <c r="L21" s="30">
        <v>585.90100000000007</v>
      </c>
      <c r="M21" s="30">
        <f t="shared" si="6"/>
        <v>410.13070000000005</v>
      </c>
      <c r="N21" s="30">
        <f t="shared" si="6"/>
        <v>117.18020000000001</v>
      </c>
      <c r="O21" s="30">
        <f t="shared" si="6"/>
        <v>0</v>
      </c>
      <c r="P21" s="31">
        <f t="shared" si="6"/>
        <v>58.590100000000007</v>
      </c>
      <c r="Q21" s="9"/>
    </row>
    <row r="22" spans="1:20" ht="31.5" x14ac:dyDescent="0.25">
      <c r="A22" s="41" t="s">
        <v>37</v>
      </c>
      <c r="B22" s="51" t="s">
        <v>38</v>
      </c>
      <c r="C22" s="52">
        <v>1</v>
      </c>
      <c r="D22" s="53" t="s">
        <v>39</v>
      </c>
      <c r="E22" s="53"/>
      <c r="F22" s="45">
        <f>G22+H22+I22+J22+K22</f>
        <v>585.90100000000007</v>
      </c>
      <c r="G22" s="46"/>
      <c r="H22" s="46"/>
      <c r="I22" s="45">
        <f>453.101+132.8</f>
        <v>585.90100000000007</v>
      </c>
      <c r="J22" s="45"/>
      <c r="K22" s="45"/>
      <c r="L22" s="45">
        <v>585.90100000000007</v>
      </c>
      <c r="M22" s="45">
        <f>L22*70%</f>
        <v>410.13070000000005</v>
      </c>
      <c r="N22" s="45">
        <f>L22*20%</f>
        <v>117.18020000000001</v>
      </c>
      <c r="O22" s="45"/>
      <c r="P22" s="48">
        <f>L22*10%</f>
        <v>58.590100000000007</v>
      </c>
    </row>
    <row r="23" spans="1:20" x14ac:dyDescent="0.25">
      <c r="A23" s="41"/>
      <c r="B23" s="51"/>
      <c r="C23" s="52"/>
      <c r="D23" s="53"/>
      <c r="E23" s="53"/>
      <c r="F23" s="30"/>
      <c r="G23" s="46"/>
      <c r="H23" s="46"/>
      <c r="I23" s="45"/>
      <c r="J23" s="45"/>
      <c r="K23" s="45"/>
      <c r="L23" s="45"/>
      <c r="M23" s="45"/>
      <c r="N23" s="45"/>
      <c r="O23" s="45"/>
      <c r="P23" s="48"/>
    </row>
    <row r="24" spans="1:20" s="54" customFormat="1" x14ac:dyDescent="0.25">
      <c r="A24" s="19" t="s">
        <v>40</v>
      </c>
      <c r="B24" s="20" t="s">
        <v>41</v>
      </c>
      <c r="C24" s="21"/>
      <c r="D24" s="22"/>
      <c r="E24" s="22"/>
      <c r="F24" s="23">
        <f t="shared" ref="F24:P24" si="7">F25+F27+F29+F31</f>
        <v>3308.3</v>
      </c>
      <c r="G24" s="23">
        <f t="shared" si="7"/>
        <v>0</v>
      </c>
      <c r="H24" s="23">
        <f t="shared" si="7"/>
        <v>0</v>
      </c>
      <c r="I24" s="23">
        <f t="shared" si="7"/>
        <v>2915</v>
      </c>
      <c r="J24" s="23">
        <f t="shared" si="7"/>
        <v>393.3</v>
      </c>
      <c r="K24" s="23">
        <f t="shared" si="7"/>
        <v>0</v>
      </c>
      <c r="L24" s="23">
        <f t="shared" si="7"/>
        <v>3308.3</v>
      </c>
      <c r="M24" s="23">
        <f t="shared" si="7"/>
        <v>2146.31</v>
      </c>
      <c r="N24" s="23">
        <f t="shared" si="7"/>
        <v>947.32500000000005</v>
      </c>
      <c r="O24" s="23">
        <f t="shared" si="7"/>
        <v>214.66499999999999</v>
      </c>
      <c r="P24" s="25">
        <f t="shared" si="7"/>
        <v>0</v>
      </c>
      <c r="Q24" s="9"/>
      <c r="R24" s="105"/>
      <c r="S24" s="105"/>
      <c r="T24" s="105"/>
    </row>
    <row r="25" spans="1:20" x14ac:dyDescent="0.25">
      <c r="A25" s="26">
        <v>1</v>
      </c>
      <c r="B25" s="27" t="s">
        <v>22</v>
      </c>
      <c r="C25" s="28"/>
      <c r="D25" s="29"/>
      <c r="E25" s="29"/>
      <c r="F25" s="30">
        <v>565</v>
      </c>
      <c r="G25" s="24">
        <f t="shared" ref="G25:O25" si="8">G26</f>
        <v>0</v>
      </c>
      <c r="H25" s="24">
        <f t="shared" si="8"/>
        <v>0</v>
      </c>
      <c r="I25" s="30">
        <f t="shared" si="8"/>
        <v>565</v>
      </c>
      <c r="J25" s="30">
        <f t="shared" si="8"/>
        <v>0</v>
      </c>
      <c r="K25" s="30">
        <f t="shared" si="8"/>
        <v>0</v>
      </c>
      <c r="L25" s="30">
        <f t="shared" si="8"/>
        <v>565</v>
      </c>
      <c r="M25" s="30">
        <f t="shared" si="8"/>
        <v>226</v>
      </c>
      <c r="N25" s="30">
        <f t="shared" si="8"/>
        <v>339</v>
      </c>
      <c r="O25" s="30">
        <f t="shared" si="8"/>
        <v>0</v>
      </c>
      <c r="P25" s="31"/>
    </row>
    <row r="26" spans="1:20" x14ac:dyDescent="0.25">
      <c r="A26" s="41" t="s">
        <v>26</v>
      </c>
      <c r="B26" s="51" t="s">
        <v>42</v>
      </c>
      <c r="C26" s="52">
        <v>1</v>
      </c>
      <c r="D26" s="53" t="s">
        <v>43</v>
      </c>
      <c r="E26" s="53"/>
      <c r="F26" s="45">
        <v>565</v>
      </c>
      <c r="G26" s="46"/>
      <c r="H26" s="46"/>
      <c r="I26" s="45">
        <v>565</v>
      </c>
      <c r="J26" s="45"/>
      <c r="K26" s="45"/>
      <c r="L26" s="45">
        <v>565</v>
      </c>
      <c r="M26" s="45">
        <f>L26*40%</f>
        <v>226</v>
      </c>
      <c r="N26" s="45">
        <f>L26*60%</f>
        <v>339</v>
      </c>
      <c r="O26" s="45"/>
      <c r="P26" s="48"/>
    </row>
    <row r="27" spans="1:20" x14ac:dyDescent="0.25">
      <c r="A27" s="26">
        <v>2</v>
      </c>
      <c r="B27" s="27" t="s">
        <v>28</v>
      </c>
      <c r="C27" s="28"/>
      <c r="D27" s="29"/>
      <c r="E27" s="29"/>
      <c r="F27" s="30">
        <f t="shared" ref="F27:O27" si="9">F28</f>
        <v>1193.3</v>
      </c>
      <c r="G27" s="24">
        <f t="shared" si="9"/>
        <v>0</v>
      </c>
      <c r="H27" s="24">
        <f t="shared" si="9"/>
        <v>0</v>
      </c>
      <c r="I27" s="30">
        <f t="shared" si="9"/>
        <v>1000</v>
      </c>
      <c r="J27" s="30">
        <f t="shared" si="9"/>
        <v>193.3</v>
      </c>
      <c r="K27" s="30">
        <f t="shared" si="9"/>
        <v>0</v>
      </c>
      <c r="L27" s="30">
        <f t="shared" si="9"/>
        <v>1193.3</v>
      </c>
      <c r="M27" s="30">
        <f t="shared" si="9"/>
        <v>835.31</v>
      </c>
      <c r="N27" s="30">
        <f t="shared" si="9"/>
        <v>298.32499999999999</v>
      </c>
      <c r="O27" s="30">
        <f t="shared" si="9"/>
        <v>59.664999999999999</v>
      </c>
      <c r="P27" s="31"/>
    </row>
    <row r="28" spans="1:20" x14ac:dyDescent="0.25">
      <c r="A28" s="41" t="s">
        <v>26</v>
      </c>
      <c r="B28" s="51" t="s">
        <v>44</v>
      </c>
      <c r="C28" s="52">
        <v>1193.3</v>
      </c>
      <c r="D28" s="53" t="s">
        <v>45</v>
      </c>
      <c r="E28" s="53"/>
      <c r="F28" s="45">
        <v>1193.3</v>
      </c>
      <c r="G28" s="46"/>
      <c r="H28" s="46"/>
      <c r="I28" s="45">
        <v>1000</v>
      </c>
      <c r="J28" s="45">
        <v>193.3</v>
      </c>
      <c r="K28" s="45"/>
      <c r="L28" s="45">
        <v>1193.3</v>
      </c>
      <c r="M28" s="45">
        <f>L28*70%</f>
        <v>835.31</v>
      </c>
      <c r="N28" s="45">
        <f>L28*25%</f>
        <v>298.32499999999999</v>
      </c>
      <c r="O28" s="45">
        <f>L28*5%</f>
        <v>59.664999999999999</v>
      </c>
      <c r="P28" s="48"/>
    </row>
    <row r="29" spans="1:20" x14ac:dyDescent="0.25">
      <c r="A29" s="26">
        <v>3</v>
      </c>
      <c r="B29" s="27" t="s">
        <v>46</v>
      </c>
      <c r="C29" s="28"/>
      <c r="D29" s="29"/>
      <c r="E29" s="29"/>
      <c r="F29" s="30">
        <f t="shared" ref="F29:O29" si="10">F30</f>
        <v>350</v>
      </c>
      <c r="G29" s="24">
        <f t="shared" si="10"/>
        <v>0</v>
      </c>
      <c r="H29" s="24">
        <f t="shared" si="10"/>
        <v>0</v>
      </c>
      <c r="I29" s="30">
        <f t="shared" si="10"/>
        <v>350</v>
      </c>
      <c r="J29" s="30">
        <f t="shared" si="10"/>
        <v>0</v>
      </c>
      <c r="K29" s="30">
        <f t="shared" si="10"/>
        <v>0</v>
      </c>
      <c r="L29" s="30">
        <f t="shared" si="10"/>
        <v>350</v>
      </c>
      <c r="M29" s="30">
        <f t="shared" si="10"/>
        <v>244.99999999999997</v>
      </c>
      <c r="N29" s="30">
        <f t="shared" si="10"/>
        <v>70</v>
      </c>
      <c r="O29" s="30">
        <f t="shared" si="10"/>
        <v>35</v>
      </c>
      <c r="P29" s="31"/>
    </row>
    <row r="30" spans="1:20" ht="47.25" x14ac:dyDescent="0.25">
      <c r="A30" s="41" t="s">
        <v>26</v>
      </c>
      <c r="B30" s="51" t="s">
        <v>47</v>
      </c>
      <c r="C30" s="52">
        <v>350</v>
      </c>
      <c r="D30" s="53" t="s">
        <v>48</v>
      </c>
      <c r="E30" s="53"/>
      <c r="F30" s="45">
        <v>350</v>
      </c>
      <c r="G30" s="46"/>
      <c r="H30" s="46"/>
      <c r="I30" s="45">
        <v>350</v>
      </c>
      <c r="J30" s="45"/>
      <c r="K30" s="45"/>
      <c r="L30" s="45">
        <v>350</v>
      </c>
      <c r="M30" s="45">
        <f>L30*70%</f>
        <v>244.99999999999997</v>
      </c>
      <c r="N30" s="45">
        <f>L30*20%</f>
        <v>70</v>
      </c>
      <c r="O30" s="45">
        <f>L30*10%</f>
        <v>35</v>
      </c>
      <c r="P30" s="48"/>
    </row>
    <row r="31" spans="1:20" x14ac:dyDescent="0.25">
      <c r="A31" s="26">
        <v>4</v>
      </c>
      <c r="B31" s="27" t="s">
        <v>36</v>
      </c>
      <c r="C31" s="28"/>
      <c r="D31" s="29"/>
      <c r="E31" s="29"/>
      <c r="F31" s="30">
        <f t="shared" ref="F31:O31" si="11">F32</f>
        <v>1200</v>
      </c>
      <c r="G31" s="24">
        <f t="shared" si="11"/>
        <v>0</v>
      </c>
      <c r="H31" s="24">
        <f t="shared" si="11"/>
        <v>0</v>
      </c>
      <c r="I31" s="30">
        <f t="shared" si="11"/>
        <v>1000</v>
      </c>
      <c r="J31" s="30">
        <f t="shared" si="11"/>
        <v>200</v>
      </c>
      <c r="K31" s="30">
        <f t="shared" si="11"/>
        <v>0</v>
      </c>
      <c r="L31" s="30">
        <f t="shared" si="11"/>
        <v>1200</v>
      </c>
      <c r="M31" s="30">
        <f t="shared" si="11"/>
        <v>840</v>
      </c>
      <c r="N31" s="30">
        <f t="shared" si="11"/>
        <v>240</v>
      </c>
      <c r="O31" s="30">
        <f t="shared" si="11"/>
        <v>120</v>
      </c>
      <c r="P31" s="31"/>
    </row>
    <row r="32" spans="1:20" x14ac:dyDescent="0.25">
      <c r="A32" s="41" t="s">
        <v>26</v>
      </c>
      <c r="B32" s="51" t="s">
        <v>49</v>
      </c>
      <c r="C32" s="52">
        <v>1</v>
      </c>
      <c r="D32" s="53" t="s">
        <v>50</v>
      </c>
      <c r="E32" s="53"/>
      <c r="F32" s="45">
        <v>1200</v>
      </c>
      <c r="G32" s="46"/>
      <c r="H32" s="46"/>
      <c r="I32" s="45">
        <v>1000</v>
      </c>
      <c r="J32" s="45">
        <v>200</v>
      </c>
      <c r="K32" s="45"/>
      <c r="L32" s="45">
        <v>1200</v>
      </c>
      <c r="M32" s="45">
        <f>L32*70%</f>
        <v>840</v>
      </c>
      <c r="N32" s="45">
        <f>L32*20%</f>
        <v>240</v>
      </c>
      <c r="O32" s="45">
        <f>L32*10%</f>
        <v>120</v>
      </c>
      <c r="P32" s="48"/>
    </row>
    <row r="33" spans="1:20" x14ac:dyDescent="0.25">
      <c r="A33" s="41"/>
      <c r="B33" s="51"/>
      <c r="C33" s="52"/>
      <c r="D33" s="53"/>
      <c r="E33" s="53"/>
      <c r="F33" s="30"/>
      <c r="G33" s="46"/>
      <c r="H33" s="46"/>
      <c r="I33" s="45"/>
      <c r="J33" s="45"/>
      <c r="K33" s="45"/>
      <c r="L33" s="45"/>
      <c r="M33" s="45"/>
      <c r="N33" s="45"/>
      <c r="O33" s="45"/>
      <c r="P33" s="48"/>
    </row>
    <row r="34" spans="1:20" x14ac:dyDescent="0.25">
      <c r="A34" s="19" t="s">
        <v>51</v>
      </c>
      <c r="B34" s="20" t="s">
        <v>52</v>
      </c>
      <c r="C34" s="21"/>
      <c r="D34" s="22"/>
      <c r="E34" s="22"/>
      <c r="F34" s="23">
        <f t="shared" ref="F34:P34" si="12">F35+F40+F44+F46+F48</f>
        <v>3295.6730000000002</v>
      </c>
      <c r="G34" s="23">
        <f t="shared" si="12"/>
        <v>0</v>
      </c>
      <c r="H34" s="23">
        <f t="shared" si="12"/>
        <v>0</v>
      </c>
      <c r="I34" s="23">
        <f t="shared" si="12"/>
        <v>1822.7730000000001</v>
      </c>
      <c r="J34" s="23">
        <f t="shared" si="12"/>
        <v>936.5</v>
      </c>
      <c r="K34" s="23">
        <f t="shared" si="12"/>
        <v>0</v>
      </c>
      <c r="L34" s="23">
        <f t="shared" si="12"/>
        <v>3295.6729999999998</v>
      </c>
      <c r="M34" s="23">
        <f t="shared" si="12"/>
        <v>2146.0510999999997</v>
      </c>
      <c r="N34" s="23">
        <f t="shared" si="12"/>
        <v>921.01959999999997</v>
      </c>
      <c r="O34" s="23">
        <f t="shared" si="12"/>
        <v>228.60230000000001</v>
      </c>
      <c r="P34" s="25">
        <f t="shared" si="12"/>
        <v>0</v>
      </c>
    </row>
    <row r="35" spans="1:20" x14ac:dyDescent="0.25">
      <c r="A35" s="26">
        <v>1</v>
      </c>
      <c r="B35" s="27" t="s">
        <v>22</v>
      </c>
      <c r="C35" s="28"/>
      <c r="D35" s="29"/>
      <c r="E35" s="29"/>
      <c r="F35" s="30">
        <f>SUM(F36:F37)</f>
        <v>890.4</v>
      </c>
      <c r="G35" s="24">
        <f>SUM(G37:G37)</f>
        <v>0</v>
      </c>
      <c r="H35" s="24">
        <f>SUM(H37:H37)</f>
        <v>0</v>
      </c>
      <c r="I35" s="30">
        <f>SUM(I36:I37)</f>
        <v>220</v>
      </c>
      <c r="J35" s="30">
        <f>SUM(J37:J37)</f>
        <v>134</v>
      </c>
      <c r="K35" s="30">
        <f>SUM(K37:K37)</f>
        <v>0</v>
      </c>
      <c r="L35" s="30">
        <f>L36+L37</f>
        <v>890.4</v>
      </c>
      <c r="M35" s="30">
        <f>M36+M37</f>
        <v>462.36</v>
      </c>
      <c r="N35" s="30">
        <f>N36+N37</f>
        <v>392.64</v>
      </c>
      <c r="O35" s="30">
        <f>O36+O37</f>
        <v>35.4</v>
      </c>
      <c r="P35" s="31">
        <f>P36+P37</f>
        <v>0</v>
      </c>
    </row>
    <row r="36" spans="1:20" s="120" customFormat="1" ht="47.25" x14ac:dyDescent="0.25">
      <c r="A36" s="133" t="s">
        <v>26</v>
      </c>
      <c r="B36" s="242" t="s">
        <v>53</v>
      </c>
      <c r="C36" s="243">
        <v>0.372</v>
      </c>
      <c r="D36" s="244" t="s">
        <v>25</v>
      </c>
      <c r="E36" s="238" t="s">
        <v>468</v>
      </c>
      <c r="F36" s="118">
        <f t="shared" ref="F36:F45" si="13">G36+H36+I36+J36+K36</f>
        <v>536.4</v>
      </c>
      <c r="G36" s="239"/>
      <c r="H36" s="239"/>
      <c r="I36" s="118"/>
      <c r="J36" s="245">
        <v>536.4</v>
      </c>
      <c r="K36" s="118"/>
      <c r="L36" s="245">
        <v>536.4</v>
      </c>
      <c r="M36" s="246">
        <f>L36*40%</f>
        <v>214.56</v>
      </c>
      <c r="N36" s="246">
        <f>L36*60%</f>
        <v>321.83999999999997</v>
      </c>
      <c r="O36" s="246"/>
      <c r="P36" s="247"/>
      <c r="Q36" s="103"/>
      <c r="R36" s="241"/>
      <c r="S36" s="241"/>
      <c r="T36" s="241"/>
    </row>
    <row r="37" spans="1:20" s="54" customFormat="1" x14ac:dyDescent="0.25">
      <c r="A37" s="222" t="s">
        <v>26</v>
      </c>
      <c r="B37" s="223" t="s">
        <v>54</v>
      </c>
      <c r="C37" s="224">
        <v>1.1000000000000001</v>
      </c>
      <c r="D37" s="57" t="s">
        <v>25</v>
      </c>
      <c r="E37" s="57"/>
      <c r="F37" s="30">
        <f t="shared" si="13"/>
        <v>354</v>
      </c>
      <c r="G37" s="30">
        <f t="shared" ref="G37:P37" si="14">G38+G39</f>
        <v>0</v>
      </c>
      <c r="H37" s="30">
        <f t="shared" si="14"/>
        <v>0</v>
      </c>
      <c r="I37" s="30">
        <f t="shared" si="14"/>
        <v>220</v>
      </c>
      <c r="J37" s="30">
        <f t="shared" si="14"/>
        <v>134</v>
      </c>
      <c r="K37" s="30">
        <f t="shared" si="14"/>
        <v>0</v>
      </c>
      <c r="L37" s="30">
        <f t="shared" si="14"/>
        <v>354</v>
      </c>
      <c r="M37" s="30">
        <f t="shared" si="14"/>
        <v>247.8</v>
      </c>
      <c r="N37" s="30">
        <f t="shared" si="14"/>
        <v>70.8</v>
      </c>
      <c r="O37" s="30">
        <f t="shared" si="14"/>
        <v>35.4</v>
      </c>
      <c r="P37" s="31">
        <f t="shared" si="14"/>
        <v>0</v>
      </c>
      <c r="Q37" s="9"/>
      <c r="R37" s="105"/>
      <c r="S37" s="105"/>
      <c r="T37" s="105"/>
    </row>
    <row r="38" spans="1:20" ht="31.5" x14ac:dyDescent="0.25">
      <c r="A38" s="41"/>
      <c r="B38" s="51" t="s">
        <v>55</v>
      </c>
      <c r="C38" s="257">
        <v>0.55000000000000004</v>
      </c>
      <c r="D38" s="258"/>
      <c r="E38" s="258" t="s">
        <v>56</v>
      </c>
      <c r="F38" s="30">
        <f t="shared" si="13"/>
        <v>220</v>
      </c>
      <c r="G38" s="46"/>
      <c r="H38" s="46"/>
      <c r="I38" s="45">
        <f>L38</f>
        <v>220</v>
      </c>
      <c r="J38" s="45"/>
      <c r="K38" s="45"/>
      <c r="L38" s="45">
        <v>220</v>
      </c>
      <c r="M38" s="55">
        <f>L38*70%</f>
        <v>154</v>
      </c>
      <c r="N38" s="55">
        <f>L38*20%</f>
        <v>44</v>
      </c>
      <c r="O38" s="55">
        <f>L38*10%</f>
        <v>22</v>
      </c>
      <c r="P38" s="56"/>
    </row>
    <row r="39" spans="1:20" ht="31.5" x14ac:dyDescent="0.25">
      <c r="A39" s="41"/>
      <c r="B39" s="51" t="s">
        <v>57</v>
      </c>
      <c r="C39" s="257">
        <v>0.33500000000000002</v>
      </c>
      <c r="D39" s="258"/>
      <c r="E39" s="258" t="s">
        <v>56</v>
      </c>
      <c r="F39" s="30">
        <f t="shared" si="13"/>
        <v>134</v>
      </c>
      <c r="G39" s="46"/>
      <c r="H39" s="46"/>
      <c r="I39" s="45"/>
      <c r="J39" s="45">
        <f>L39</f>
        <v>134</v>
      </c>
      <c r="K39" s="45"/>
      <c r="L39" s="45">
        <v>134</v>
      </c>
      <c r="M39" s="55">
        <f>L39*70%</f>
        <v>93.8</v>
      </c>
      <c r="N39" s="55">
        <f>L39*20%</f>
        <v>26.8</v>
      </c>
      <c r="O39" s="55">
        <f>L39*10%</f>
        <v>13.4</v>
      </c>
      <c r="P39" s="56"/>
    </row>
    <row r="40" spans="1:20" x14ac:dyDescent="0.25">
      <c r="A40" s="26">
        <v>2</v>
      </c>
      <c r="B40" s="27" t="s">
        <v>58</v>
      </c>
      <c r="C40" s="28"/>
      <c r="D40" s="29">
        <f>SUM(D41:D43)</f>
        <v>0</v>
      </c>
      <c r="E40" s="29"/>
      <c r="F40" s="30">
        <f t="shared" si="13"/>
        <v>946.5</v>
      </c>
      <c r="G40" s="24">
        <f t="shared" ref="G40:P40" si="15">SUM(G41:G43)</f>
        <v>0</v>
      </c>
      <c r="H40" s="24">
        <f t="shared" si="15"/>
        <v>0</v>
      </c>
      <c r="I40" s="30">
        <f t="shared" si="15"/>
        <v>436.5</v>
      </c>
      <c r="J40" s="30">
        <f t="shared" si="15"/>
        <v>510</v>
      </c>
      <c r="K40" s="30">
        <f t="shared" si="15"/>
        <v>0</v>
      </c>
      <c r="L40" s="30">
        <f t="shared" si="15"/>
        <v>946.5</v>
      </c>
      <c r="M40" s="30">
        <f t="shared" si="15"/>
        <v>662.55</v>
      </c>
      <c r="N40" s="30">
        <f t="shared" si="15"/>
        <v>236.625</v>
      </c>
      <c r="O40" s="30">
        <f t="shared" si="15"/>
        <v>47.325000000000003</v>
      </c>
      <c r="P40" s="31">
        <f t="shared" si="15"/>
        <v>0</v>
      </c>
    </row>
    <row r="41" spans="1:20" x14ac:dyDescent="0.25">
      <c r="A41" s="41" t="s">
        <v>26</v>
      </c>
      <c r="B41" s="51" t="s">
        <v>59</v>
      </c>
      <c r="C41" s="52">
        <v>0.3</v>
      </c>
      <c r="D41" s="53" t="s">
        <v>25</v>
      </c>
      <c r="E41" s="53" t="s">
        <v>33</v>
      </c>
      <c r="F41" s="45">
        <f t="shared" si="13"/>
        <v>255</v>
      </c>
      <c r="G41" s="46"/>
      <c r="H41" s="46"/>
      <c r="I41" s="45"/>
      <c r="J41" s="45">
        <f>L41</f>
        <v>255</v>
      </c>
      <c r="K41" s="45"/>
      <c r="L41" s="45">
        <v>255</v>
      </c>
      <c r="M41" s="45">
        <f>L41*70%</f>
        <v>178.5</v>
      </c>
      <c r="N41" s="45">
        <f>L41*25%</f>
        <v>63.75</v>
      </c>
      <c r="O41" s="55">
        <f>L41*5%</f>
        <v>12.75</v>
      </c>
      <c r="P41" s="48">
        <v>0</v>
      </c>
    </row>
    <row r="42" spans="1:20" ht="31.5" x14ac:dyDescent="0.25">
      <c r="A42" s="41" t="s">
        <v>26</v>
      </c>
      <c r="B42" s="51" t="s">
        <v>60</v>
      </c>
      <c r="C42" s="52">
        <v>0.3</v>
      </c>
      <c r="D42" s="53" t="s">
        <v>25</v>
      </c>
      <c r="E42" s="53" t="s">
        <v>33</v>
      </c>
      <c r="F42" s="45">
        <f t="shared" si="13"/>
        <v>255</v>
      </c>
      <c r="G42" s="46"/>
      <c r="H42" s="46"/>
      <c r="I42" s="45"/>
      <c r="J42" s="45">
        <f>L42</f>
        <v>255</v>
      </c>
      <c r="K42" s="45"/>
      <c r="L42" s="45">
        <v>255</v>
      </c>
      <c r="M42" s="45">
        <f>L42*70%</f>
        <v>178.5</v>
      </c>
      <c r="N42" s="45">
        <f>L42*25%</f>
        <v>63.75</v>
      </c>
      <c r="O42" s="55">
        <f>L42*5%</f>
        <v>12.75</v>
      </c>
      <c r="P42" s="48">
        <v>0</v>
      </c>
    </row>
    <row r="43" spans="1:20" ht="31.5" x14ac:dyDescent="0.25">
      <c r="A43" s="41" t="s">
        <v>26</v>
      </c>
      <c r="B43" s="51" t="s">
        <v>61</v>
      </c>
      <c r="C43" s="52">
        <v>0.45</v>
      </c>
      <c r="D43" s="53" t="s">
        <v>25</v>
      </c>
      <c r="E43" s="53" t="s">
        <v>33</v>
      </c>
      <c r="F43" s="45">
        <f t="shared" si="13"/>
        <v>436.5</v>
      </c>
      <c r="G43" s="46"/>
      <c r="H43" s="46"/>
      <c r="I43" s="45">
        <f>L43</f>
        <v>436.5</v>
      </c>
      <c r="J43" s="45"/>
      <c r="K43" s="45"/>
      <c r="L43" s="45">
        <v>436.5</v>
      </c>
      <c r="M43" s="45">
        <f>L43*70%</f>
        <v>305.54999999999995</v>
      </c>
      <c r="N43" s="45">
        <f>L43*25%</f>
        <v>109.125</v>
      </c>
      <c r="O43" s="55">
        <f>L43*5%</f>
        <v>21.825000000000003</v>
      </c>
      <c r="P43" s="56">
        <v>0</v>
      </c>
    </row>
    <row r="44" spans="1:20" x14ac:dyDescent="0.25">
      <c r="A44" s="26">
        <v>3</v>
      </c>
      <c r="B44" s="27" t="s">
        <v>46</v>
      </c>
      <c r="C44" s="28"/>
      <c r="D44" s="29"/>
      <c r="E44" s="29"/>
      <c r="F44" s="30">
        <f t="shared" si="13"/>
        <v>649.27300000000002</v>
      </c>
      <c r="G44" s="24">
        <f>SUM(G45:G45)</f>
        <v>0</v>
      </c>
      <c r="H44" s="24">
        <f>SUM(H45:H45)</f>
        <v>0</v>
      </c>
      <c r="I44" s="30">
        <f>SUM(I45:I45)</f>
        <v>649.27300000000002</v>
      </c>
      <c r="J44" s="30">
        <f>SUM(J45:J45)</f>
        <v>0</v>
      </c>
      <c r="K44" s="30">
        <f>SUM(K45:K45)</f>
        <v>0</v>
      </c>
      <c r="L44" s="30">
        <f>M44+N44+O44+P44</f>
        <v>649.27299999999991</v>
      </c>
      <c r="M44" s="30">
        <f>SUM(M45:M45)</f>
        <v>454.49109999999996</v>
      </c>
      <c r="N44" s="30">
        <f>SUM(N45:N45)</f>
        <v>129.8546</v>
      </c>
      <c r="O44" s="30">
        <f>SUM(O45:O45)</f>
        <v>64.927300000000002</v>
      </c>
      <c r="P44" s="31">
        <f>SUM(P45:P45)</f>
        <v>0</v>
      </c>
    </row>
    <row r="45" spans="1:20" x14ac:dyDescent="0.25">
      <c r="A45" s="41" t="s">
        <v>26</v>
      </c>
      <c r="B45" s="51" t="s">
        <v>62</v>
      </c>
      <c r="C45" s="52">
        <v>1</v>
      </c>
      <c r="D45" s="53" t="s">
        <v>25</v>
      </c>
      <c r="E45" s="53"/>
      <c r="F45" s="45">
        <f t="shared" si="13"/>
        <v>649.27300000000002</v>
      </c>
      <c r="G45" s="46"/>
      <c r="H45" s="46"/>
      <c r="I45" s="45">
        <f>L45</f>
        <v>649.27300000000002</v>
      </c>
      <c r="J45" s="45"/>
      <c r="K45" s="45"/>
      <c r="L45" s="45">
        <v>649.27300000000002</v>
      </c>
      <c r="M45" s="55">
        <f>L45*70%</f>
        <v>454.49109999999996</v>
      </c>
      <c r="N45" s="55">
        <f>L45*20%</f>
        <v>129.8546</v>
      </c>
      <c r="O45" s="55">
        <f>L45*10%</f>
        <v>64.927300000000002</v>
      </c>
      <c r="P45" s="56">
        <v>0</v>
      </c>
    </row>
    <row r="46" spans="1:20" x14ac:dyDescent="0.25">
      <c r="A46" s="26">
        <v>4</v>
      </c>
      <c r="B46" s="27" t="s">
        <v>63</v>
      </c>
      <c r="C46" s="52"/>
      <c r="D46" s="53"/>
      <c r="E46" s="53"/>
      <c r="F46" s="30">
        <f>F47</f>
        <v>292.5</v>
      </c>
      <c r="G46" s="30">
        <f t="shared" ref="G46:L46" si="16">G47</f>
        <v>0</v>
      </c>
      <c r="H46" s="30">
        <f t="shared" si="16"/>
        <v>0</v>
      </c>
      <c r="I46" s="30">
        <f t="shared" si="16"/>
        <v>0</v>
      </c>
      <c r="J46" s="30">
        <f t="shared" si="16"/>
        <v>292.5</v>
      </c>
      <c r="K46" s="30">
        <f t="shared" si="16"/>
        <v>0</v>
      </c>
      <c r="L46" s="30">
        <f t="shared" si="16"/>
        <v>292.5</v>
      </c>
      <c r="M46" s="30">
        <f>M47</f>
        <v>204.75</v>
      </c>
      <c r="N46" s="30">
        <f>N47</f>
        <v>58.5</v>
      </c>
      <c r="O46" s="30">
        <f>O47</f>
        <v>29.25</v>
      </c>
      <c r="P46" s="31">
        <f>P47</f>
        <v>0</v>
      </c>
    </row>
    <row r="47" spans="1:20" ht="47.25" x14ac:dyDescent="0.25">
      <c r="A47" s="41" t="s">
        <v>26</v>
      </c>
      <c r="B47" s="51" t="s">
        <v>64</v>
      </c>
      <c r="C47" s="52">
        <v>0.15</v>
      </c>
      <c r="D47" s="53" t="s">
        <v>25</v>
      </c>
      <c r="E47" s="53"/>
      <c r="F47" s="45">
        <f>G47+H47+I47+J47+K47</f>
        <v>292.5</v>
      </c>
      <c r="G47" s="46"/>
      <c r="H47" s="46"/>
      <c r="I47" s="45"/>
      <c r="J47" s="45">
        <f>L47</f>
        <v>292.5</v>
      </c>
      <c r="K47" s="45"/>
      <c r="L47" s="60">
        <v>292.5</v>
      </c>
      <c r="M47" s="55">
        <f>L47*70%</f>
        <v>204.75</v>
      </c>
      <c r="N47" s="55">
        <f>L47*20%</f>
        <v>58.5</v>
      </c>
      <c r="O47" s="55">
        <f>L47*10%</f>
        <v>29.25</v>
      </c>
      <c r="P47" s="56">
        <v>0</v>
      </c>
    </row>
    <row r="48" spans="1:20" x14ac:dyDescent="0.25">
      <c r="A48" s="26">
        <v>5</v>
      </c>
      <c r="B48" s="27" t="s">
        <v>65</v>
      </c>
      <c r="C48" s="52"/>
      <c r="D48" s="53"/>
      <c r="E48" s="53"/>
      <c r="F48" s="30">
        <f t="shared" ref="F48:P48" si="17">F49</f>
        <v>517</v>
      </c>
      <c r="G48" s="30">
        <f t="shared" si="17"/>
        <v>0</v>
      </c>
      <c r="H48" s="30">
        <f t="shared" si="17"/>
        <v>0</v>
      </c>
      <c r="I48" s="30">
        <f t="shared" si="17"/>
        <v>517</v>
      </c>
      <c r="J48" s="30">
        <f t="shared" si="17"/>
        <v>0</v>
      </c>
      <c r="K48" s="30">
        <f t="shared" si="17"/>
        <v>0</v>
      </c>
      <c r="L48" s="30">
        <f t="shared" si="17"/>
        <v>517</v>
      </c>
      <c r="M48" s="30">
        <f t="shared" si="17"/>
        <v>361.9</v>
      </c>
      <c r="N48" s="30">
        <f t="shared" si="17"/>
        <v>103.4</v>
      </c>
      <c r="O48" s="30">
        <f t="shared" si="17"/>
        <v>51.7</v>
      </c>
      <c r="P48" s="31">
        <f t="shared" si="17"/>
        <v>0</v>
      </c>
    </row>
    <row r="49" spans="1:20" ht="31.5" x14ac:dyDescent="0.25">
      <c r="A49" s="41" t="s">
        <v>26</v>
      </c>
      <c r="B49" s="51" t="s">
        <v>66</v>
      </c>
      <c r="C49" s="52">
        <v>32</v>
      </c>
      <c r="D49" s="53" t="s">
        <v>67</v>
      </c>
      <c r="E49" s="53"/>
      <c r="F49" s="45">
        <f>G49+H49+I49+J49+K49</f>
        <v>517</v>
      </c>
      <c r="G49" s="46"/>
      <c r="H49" s="46"/>
      <c r="I49" s="45">
        <f>L49</f>
        <v>517</v>
      </c>
      <c r="J49" s="45"/>
      <c r="K49" s="45"/>
      <c r="L49" s="60">
        <v>517</v>
      </c>
      <c r="M49" s="55">
        <f>L49*70%</f>
        <v>361.9</v>
      </c>
      <c r="N49" s="55">
        <f>L49*20%</f>
        <v>103.4</v>
      </c>
      <c r="O49" s="55">
        <f>L49*10%</f>
        <v>51.7</v>
      </c>
      <c r="P49" s="56">
        <v>0</v>
      </c>
    </row>
    <row r="50" spans="1:20" x14ac:dyDescent="0.25">
      <c r="A50" s="61"/>
      <c r="B50" s="62"/>
      <c r="C50" s="63"/>
      <c r="D50" s="62"/>
      <c r="E50" s="80"/>
      <c r="F50" s="60"/>
      <c r="G50" s="46"/>
      <c r="H50" s="46"/>
      <c r="I50" s="60"/>
      <c r="J50" s="60"/>
      <c r="K50" s="60"/>
      <c r="L50" s="60"/>
      <c r="M50" s="60"/>
      <c r="N50" s="60"/>
      <c r="O50" s="60"/>
      <c r="P50" s="64"/>
    </row>
    <row r="51" spans="1:20" x14ac:dyDescent="0.25">
      <c r="A51" s="19" t="s">
        <v>68</v>
      </c>
      <c r="B51" s="20" t="s">
        <v>69</v>
      </c>
      <c r="C51" s="21"/>
      <c r="D51" s="22"/>
      <c r="E51" s="22"/>
      <c r="F51" s="23">
        <f>F52+F54+F57</f>
        <v>3065.7142857142858</v>
      </c>
      <c r="G51" s="23">
        <f t="shared" ref="G51:P51" si="18">G52+G54+G57</f>
        <v>0</v>
      </c>
      <c r="H51" s="23">
        <f t="shared" si="18"/>
        <v>0</v>
      </c>
      <c r="I51" s="23">
        <f t="shared" si="18"/>
        <v>3065.7142857142858</v>
      </c>
      <c r="J51" s="23">
        <f t="shared" si="18"/>
        <v>0</v>
      </c>
      <c r="K51" s="23">
        <f t="shared" si="18"/>
        <v>0</v>
      </c>
      <c r="L51" s="23">
        <f t="shared" si="18"/>
        <v>3065.7142857142858</v>
      </c>
      <c r="M51" s="23">
        <f t="shared" si="18"/>
        <v>2146</v>
      </c>
      <c r="N51" s="23">
        <f t="shared" si="18"/>
        <v>613.14285714285711</v>
      </c>
      <c r="O51" s="23">
        <f t="shared" si="18"/>
        <v>306.57142857142856</v>
      </c>
      <c r="P51" s="25">
        <f t="shared" si="18"/>
        <v>0</v>
      </c>
    </row>
    <row r="52" spans="1:20" x14ac:dyDescent="0.25">
      <c r="A52" s="26">
        <v>1</v>
      </c>
      <c r="B52" s="27" t="s">
        <v>46</v>
      </c>
      <c r="C52" s="28"/>
      <c r="D52" s="29"/>
      <c r="E52" s="29"/>
      <c r="F52" s="30">
        <f>F53</f>
        <v>1245.7142857142858</v>
      </c>
      <c r="G52" s="30">
        <f t="shared" ref="G52:P52" si="19">G53</f>
        <v>0</v>
      </c>
      <c r="H52" s="30">
        <f t="shared" si="19"/>
        <v>0</v>
      </c>
      <c r="I52" s="30">
        <f t="shared" si="19"/>
        <v>1245.7142857142858</v>
      </c>
      <c r="J52" s="30">
        <f t="shared" si="19"/>
        <v>0</v>
      </c>
      <c r="K52" s="30">
        <f t="shared" si="19"/>
        <v>0</v>
      </c>
      <c r="L52" s="30">
        <f t="shared" si="19"/>
        <v>1245.7142857142858</v>
      </c>
      <c r="M52" s="30">
        <f t="shared" si="19"/>
        <v>872</v>
      </c>
      <c r="N52" s="30">
        <f t="shared" si="19"/>
        <v>249.14285714285717</v>
      </c>
      <c r="O52" s="30">
        <f t="shared" si="19"/>
        <v>124.57142857142858</v>
      </c>
      <c r="P52" s="31">
        <f t="shared" si="19"/>
        <v>0</v>
      </c>
    </row>
    <row r="53" spans="1:20" ht="63" x14ac:dyDescent="0.25">
      <c r="A53" s="26"/>
      <c r="B53" s="51" t="s">
        <v>70</v>
      </c>
      <c r="C53" s="28"/>
      <c r="D53" s="29"/>
      <c r="E53" s="80"/>
      <c r="F53" s="45">
        <f>I53</f>
        <v>1245.7142857142858</v>
      </c>
      <c r="G53" s="30"/>
      <c r="H53" s="30"/>
      <c r="I53" s="45">
        <v>1245.7142857142858</v>
      </c>
      <c r="J53" s="45"/>
      <c r="K53" s="30"/>
      <c r="L53" s="45">
        <v>1245.7142857142858</v>
      </c>
      <c r="M53" s="45">
        <f>L53*70%</f>
        <v>872</v>
      </c>
      <c r="N53" s="45">
        <f>L53*20%</f>
        <v>249.14285714285717</v>
      </c>
      <c r="O53" s="45">
        <f>L53*10%</f>
        <v>124.57142857142858</v>
      </c>
      <c r="P53" s="48">
        <v>0</v>
      </c>
    </row>
    <row r="54" spans="1:20" x14ac:dyDescent="0.25">
      <c r="A54" s="26">
        <v>2</v>
      </c>
      <c r="B54" s="27" t="s">
        <v>36</v>
      </c>
      <c r="C54" s="28"/>
      <c r="D54" s="29"/>
      <c r="E54" s="29"/>
      <c r="F54" s="30">
        <f t="shared" ref="F54:P54" si="20">SUM(F55:F56)</f>
        <v>1000</v>
      </c>
      <c r="G54" s="30">
        <f t="shared" si="20"/>
        <v>0</v>
      </c>
      <c r="H54" s="30">
        <f t="shared" si="20"/>
        <v>0</v>
      </c>
      <c r="I54" s="30">
        <f t="shared" si="20"/>
        <v>1000</v>
      </c>
      <c r="J54" s="30">
        <f t="shared" si="20"/>
        <v>0</v>
      </c>
      <c r="K54" s="30">
        <f t="shared" si="20"/>
        <v>0</v>
      </c>
      <c r="L54" s="30">
        <f t="shared" si="20"/>
        <v>1000</v>
      </c>
      <c r="M54" s="30">
        <f t="shared" si="20"/>
        <v>700</v>
      </c>
      <c r="N54" s="30">
        <f t="shared" si="20"/>
        <v>200</v>
      </c>
      <c r="O54" s="30">
        <f t="shared" si="20"/>
        <v>100</v>
      </c>
      <c r="P54" s="31">
        <f t="shared" si="20"/>
        <v>0</v>
      </c>
    </row>
    <row r="55" spans="1:20" ht="78.75" x14ac:dyDescent="0.25">
      <c r="A55" s="41" t="s">
        <v>26</v>
      </c>
      <c r="B55" s="51" t="s">
        <v>71</v>
      </c>
      <c r="C55" s="52"/>
      <c r="D55" s="53" t="s">
        <v>39</v>
      </c>
      <c r="E55" s="80"/>
      <c r="F55" s="45">
        <f>G55+H55+I55+J55+K55</f>
        <v>550</v>
      </c>
      <c r="G55" s="45"/>
      <c r="H55" s="45"/>
      <c r="I55" s="45">
        <f>L55</f>
        <v>550</v>
      </c>
      <c r="J55" s="45"/>
      <c r="K55" s="45"/>
      <c r="L55" s="45">
        <v>550</v>
      </c>
      <c r="M55" s="45">
        <f>L55*70%</f>
        <v>385</v>
      </c>
      <c r="N55" s="45">
        <f>L55*20%</f>
        <v>110</v>
      </c>
      <c r="O55" s="45">
        <f>L55*10%</f>
        <v>55</v>
      </c>
      <c r="P55" s="48"/>
    </row>
    <row r="56" spans="1:20" ht="78.75" x14ac:dyDescent="0.25">
      <c r="A56" s="41" t="s">
        <v>26</v>
      </c>
      <c r="B56" s="51" t="s">
        <v>251</v>
      </c>
      <c r="C56" s="52"/>
      <c r="D56" s="53" t="s">
        <v>39</v>
      </c>
      <c r="E56" s="80"/>
      <c r="F56" s="45">
        <f>G56+H56+I56+J56+K56</f>
        <v>450</v>
      </c>
      <c r="G56" s="45"/>
      <c r="H56" s="45"/>
      <c r="I56" s="45">
        <f>L56</f>
        <v>450</v>
      </c>
      <c r="J56" s="45"/>
      <c r="K56" s="45"/>
      <c r="L56" s="45">
        <v>450</v>
      </c>
      <c r="M56" s="45">
        <f>L56*70%</f>
        <v>315</v>
      </c>
      <c r="N56" s="45">
        <f>L56*20%</f>
        <v>90</v>
      </c>
      <c r="O56" s="45">
        <f>L56*10%</f>
        <v>45</v>
      </c>
      <c r="P56" s="48"/>
    </row>
    <row r="57" spans="1:20" x14ac:dyDescent="0.25">
      <c r="A57" s="26">
        <v>3</v>
      </c>
      <c r="B57" s="27" t="s">
        <v>72</v>
      </c>
      <c r="C57" s="28"/>
      <c r="D57" s="29"/>
      <c r="E57" s="29"/>
      <c r="F57" s="30">
        <f t="shared" ref="F57:P57" si="21">SUM(F58:F58)</f>
        <v>820</v>
      </c>
      <c r="G57" s="30">
        <f t="shared" si="21"/>
        <v>0</v>
      </c>
      <c r="H57" s="30">
        <f t="shared" si="21"/>
        <v>0</v>
      </c>
      <c r="I57" s="30">
        <f t="shared" si="21"/>
        <v>820</v>
      </c>
      <c r="J57" s="30">
        <f t="shared" si="21"/>
        <v>0</v>
      </c>
      <c r="K57" s="30">
        <f t="shared" si="21"/>
        <v>0</v>
      </c>
      <c r="L57" s="30">
        <f t="shared" si="21"/>
        <v>820</v>
      </c>
      <c r="M57" s="30">
        <f t="shared" si="21"/>
        <v>574</v>
      </c>
      <c r="N57" s="30">
        <f t="shared" si="21"/>
        <v>164</v>
      </c>
      <c r="O57" s="30">
        <f t="shared" si="21"/>
        <v>82</v>
      </c>
      <c r="P57" s="31">
        <f t="shared" si="21"/>
        <v>0</v>
      </c>
    </row>
    <row r="58" spans="1:20" ht="94.5" x14ac:dyDescent="0.25">
      <c r="A58" s="41" t="s">
        <v>26</v>
      </c>
      <c r="B58" s="51" t="s">
        <v>73</v>
      </c>
      <c r="C58" s="52"/>
      <c r="D58" s="53" t="s">
        <v>45</v>
      </c>
      <c r="E58" s="80"/>
      <c r="F58" s="45">
        <f>G58+H58+I58+J58+K58</f>
        <v>820</v>
      </c>
      <c r="G58" s="45"/>
      <c r="H58" s="45"/>
      <c r="I58" s="45">
        <f>L58</f>
        <v>820</v>
      </c>
      <c r="J58" s="45"/>
      <c r="K58" s="45"/>
      <c r="L58" s="45">
        <v>820</v>
      </c>
      <c r="M58" s="45">
        <f>L58*70%</f>
        <v>574</v>
      </c>
      <c r="N58" s="45">
        <f>L58*20%</f>
        <v>164</v>
      </c>
      <c r="O58" s="45">
        <f>L58*10%</f>
        <v>82</v>
      </c>
      <c r="P58" s="48"/>
    </row>
    <row r="59" spans="1:20" x14ac:dyDescent="0.25">
      <c r="A59" s="61"/>
      <c r="B59" s="62"/>
      <c r="C59" s="63"/>
      <c r="D59" s="62"/>
      <c r="E59" s="80"/>
      <c r="F59" s="60"/>
      <c r="G59" s="46"/>
      <c r="H59" s="46"/>
      <c r="I59" s="60"/>
      <c r="J59" s="60"/>
      <c r="K59" s="60"/>
      <c r="L59" s="60"/>
      <c r="M59" s="60"/>
      <c r="N59" s="60"/>
      <c r="O59" s="60"/>
      <c r="P59" s="64"/>
    </row>
    <row r="60" spans="1:20" x14ac:dyDescent="0.25">
      <c r="A60" s="19" t="s">
        <v>74</v>
      </c>
      <c r="B60" s="20" t="s">
        <v>75</v>
      </c>
      <c r="C60" s="21"/>
      <c r="D60" s="22"/>
      <c r="E60" s="22"/>
      <c r="F60" s="23">
        <f>F61</f>
        <v>3065.788</v>
      </c>
      <c r="G60" s="23">
        <f t="shared" ref="G60:P61" si="22">G61</f>
        <v>0</v>
      </c>
      <c r="H60" s="23">
        <f t="shared" si="22"/>
        <v>766.447</v>
      </c>
      <c r="I60" s="23">
        <f t="shared" si="22"/>
        <v>1021.788</v>
      </c>
      <c r="J60" s="23">
        <f t="shared" si="22"/>
        <v>1022</v>
      </c>
      <c r="K60" s="23">
        <f t="shared" si="22"/>
        <v>1022</v>
      </c>
      <c r="L60" s="23">
        <f t="shared" si="22"/>
        <v>3065.788</v>
      </c>
      <c r="M60" s="23">
        <f t="shared" si="22"/>
        <v>2146.0515999999998</v>
      </c>
      <c r="N60" s="23">
        <f t="shared" si="22"/>
        <v>613.1576</v>
      </c>
      <c r="O60" s="23">
        <f t="shared" si="22"/>
        <v>0</v>
      </c>
      <c r="P60" s="25">
        <f t="shared" si="22"/>
        <v>306.5788</v>
      </c>
    </row>
    <row r="61" spans="1:20" x14ac:dyDescent="0.25">
      <c r="A61" s="26">
        <v>1</v>
      </c>
      <c r="B61" s="27" t="s">
        <v>63</v>
      </c>
      <c r="C61" s="28"/>
      <c r="D61" s="29"/>
      <c r="E61" s="29"/>
      <c r="F61" s="30">
        <f>F62</f>
        <v>3065.788</v>
      </c>
      <c r="G61" s="30">
        <f t="shared" si="22"/>
        <v>0</v>
      </c>
      <c r="H61" s="30">
        <f t="shared" si="22"/>
        <v>766.447</v>
      </c>
      <c r="I61" s="30">
        <f t="shared" si="22"/>
        <v>1021.788</v>
      </c>
      <c r="J61" s="30">
        <f t="shared" si="22"/>
        <v>1022</v>
      </c>
      <c r="K61" s="30">
        <f t="shared" si="22"/>
        <v>1022</v>
      </c>
      <c r="L61" s="30">
        <f t="shared" si="22"/>
        <v>3065.788</v>
      </c>
      <c r="M61" s="30">
        <f t="shared" si="22"/>
        <v>2146.0515999999998</v>
      </c>
      <c r="N61" s="30">
        <f t="shared" si="22"/>
        <v>613.1576</v>
      </c>
      <c r="O61" s="30">
        <f t="shared" si="22"/>
        <v>0</v>
      </c>
      <c r="P61" s="31">
        <f t="shared" si="22"/>
        <v>306.5788</v>
      </c>
      <c r="Q61" s="10"/>
    </row>
    <row r="62" spans="1:20" ht="31.5" x14ac:dyDescent="0.25">
      <c r="A62" s="41" t="s">
        <v>26</v>
      </c>
      <c r="B62" s="51" t="s">
        <v>76</v>
      </c>
      <c r="C62" s="52" t="s">
        <v>77</v>
      </c>
      <c r="D62" s="53" t="s">
        <v>25</v>
      </c>
      <c r="E62" s="53"/>
      <c r="F62" s="45">
        <v>3065.788</v>
      </c>
      <c r="G62" s="45"/>
      <c r="H62" s="45">
        <v>766.447</v>
      </c>
      <c r="I62" s="45">
        <f>1022-0.212</f>
        <v>1021.788</v>
      </c>
      <c r="J62" s="45">
        <v>1022</v>
      </c>
      <c r="K62" s="45">
        <v>1022</v>
      </c>
      <c r="L62" s="45">
        <v>3065.788</v>
      </c>
      <c r="M62" s="45">
        <f>L62*70%</f>
        <v>2146.0515999999998</v>
      </c>
      <c r="N62" s="45">
        <f>L62*20%</f>
        <v>613.1576</v>
      </c>
      <c r="O62" s="45"/>
      <c r="P62" s="48">
        <f>L62*10%</f>
        <v>306.5788</v>
      </c>
      <c r="Q62" s="8"/>
    </row>
    <row r="63" spans="1:20" x14ac:dyDescent="0.25">
      <c r="A63" s="61"/>
      <c r="B63" s="62"/>
      <c r="C63" s="63"/>
      <c r="D63" s="62"/>
      <c r="E63" s="80"/>
      <c r="F63" s="60"/>
      <c r="G63" s="46"/>
      <c r="H63" s="46"/>
      <c r="I63" s="60"/>
      <c r="J63" s="60"/>
      <c r="K63" s="60"/>
      <c r="L63" s="60"/>
      <c r="M63" s="60"/>
      <c r="N63" s="60"/>
      <c r="O63" s="60"/>
      <c r="P63" s="64"/>
    </row>
    <row r="64" spans="1:20" s="65" customFormat="1" x14ac:dyDescent="0.25">
      <c r="A64" s="19" t="s">
        <v>78</v>
      </c>
      <c r="B64" s="20" t="s">
        <v>79</v>
      </c>
      <c r="C64" s="21"/>
      <c r="D64" s="22"/>
      <c r="E64" s="22"/>
      <c r="F64" s="23">
        <f>F65</f>
        <v>3543.5</v>
      </c>
      <c r="G64" s="23" t="e">
        <f>#REF!+#REF!</f>
        <v>#REF!</v>
      </c>
      <c r="H64" s="23" t="e">
        <f>#REF!+#REF!</f>
        <v>#REF!</v>
      </c>
      <c r="I64" s="23">
        <f t="shared" ref="I64:P64" si="23">I65</f>
        <v>1091</v>
      </c>
      <c r="J64" s="23">
        <f t="shared" si="23"/>
        <v>2452.5</v>
      </c>
      <c r="K64" s="23">
        <f t="shared" si="23"/>
        <v>0</v>
      </c>
      <c r="L64" s="23">
        <f t="shared" si="23"/>
        <v>3543.5</v>
      </c>
      <c r="M64" s="23">
        <f t="shared" si="23"/>
        <v>2090.3000000000002</v>
      </c>
      <c r="N64" s="23">
        <f t="shared" si="23"/>
        <v>1228.9000000000001</v>
      </c>
      <c r="O64" s="23">
        <f t="shared" si="23"/>
        <v>201.86999999999998</v>
      </c>
      <c r="P64" s="25">
        <f t="shared" si="23"/>
        <v>22.43</v>
      </c>
      <c r="Q64" s="9"/>
      <c r="R64" s="108"/>
      <c r="S64" s="108"/>
      <c r="T64" s="108"/>
    </row>
    <row r="65" spans="1:20" s="72" customFormat="1" ht="31.5" x14ac:dyDescent="0.25">
      <c r="A65" s="66" t="s">
        <v>20</v>
      </c>
      <c r="B65" s="67" t="s">
        <v>80</v>
      </c>
      <c r="C65" s="68"/>
      <c r="D65" s="69"/>
      <c r="E65" s="69"/>
      <c r="F65" s="70">
        <f>F66+F71+F76</f>
        <v>3543.5</v>
      </c>
      <c r="G65" s="70">
        <f t="shared" ref="G65:P65" si="24">G66+G71+G76</f>
        <v>0</v>
      </c>
      <c r="H65" s="70">
        <f t="shared" si="24"/>
        <v>0</v>
      </c>
      <c r="I65" s="70">
        <f t="shared" si="24"/>
        <v>1091</v>
      </c>
      <c r="J65" s="70">
        <f t="shared" si="24"/>
        <v>2452.5</v>
      </c>
      <c r="K65" s="70">
        <f t="shared" si="24"/>
        <v>0</v>
      </c>
      <c r="L65" s="70">
        <v>3543.5</v>
      </c>
      <c r="M65" s="70">
        <f t="shared" si="24"/>
        <v>2090.3000000000002</v>
      </c>
      <c r="N65" s="70">
        <f t="shared" si="24"/>
        <v>1228.9000000000001</v>
      </c>
      <c r="O65" s="70">
        <f t="shared" si="24"/>
        <v>201.86999999999998</v>
      </c>
      <c r="P65" s="71">
        <f t="shared" si="24"/>
        <v>22.43</v>
      </c>
      <c r="Q65" s="49"/>
      <c r="R65" s="109"/>
      <c r="S65" s="109"/>
      <c r="T65" s="109"/>
    </row>
    <row r="66" spans="1:20" s="72" customFormat="1" x14ac:dyDescent="0.25">
      <c r="A66" s="66">
        <v>1</v>
      </c>
      <c r="B66" s="67" t="s">
        <v>22</v>
      </c>
      <c r="C66" s="68"/>
      <c r="D66" s="69" t="s">
        <v>25</v>
      </c>
      <c r="E66" s="69"/>
      <c r="F66" s="70">
        <f>F67</f>
        <v>1300.5</v>
      </c>
      <c r="G66" s="70">
        <f t="shared" ref="G66:P66" si="25">G67</f>
        <v>0</v>
      </c>
      <c r="H66" s="70">
        <f t="shared" si="25"/>
        <v>0</v>
      </c>
      <c r="I66" s="70">
        <f t="shared" si="25"/>
        <v>0</v>
      </c>
      <c r="J66" s="70">
        <f t="shared" si="25"/>
        <v>1300.5</v>
      </c>
      <c r="K66" s="70">
        <f t="shared" si="25"/>
        <v>0</v>
      </c>
      <c r="L66" s="70">
        <v>1300.5</v>
      </c>
      <c r="M66" s="70">
        <f t="shared" si="25"/>
        <v>520.20000000000005</v>
      </c>
      <c r="N66" s="70">
        <f t="shared" si="25"/>
        <v>780.3</v>
      </c>
      <c r="O66" s="70">
        <f t="shared" si="25"/>
        <v>0</v>
      </c>
      <c r="P66" s="71">
        <f t="shared" si="25"/>
        <v>0</v>
      </c>
      <c r="Q66" s="49"/>
      <c r="R66" s="109"/>
      <c r="S66" s="109"/>
      <c r="T66" s="109"/>
    </row>
    <row r="67" spans="1:20" s="72" customFormat="1" x14ac:dyDescent="0.25">
      <c r="A67" s="66"/>
      <c r="B67" s="27" t="s">
        <v>81</v>
      </c>
      <c r="C67" s="28">
        <f>C68+C69+C70</f>
        <v>0.86699999999999999</v>
      </c>
      <c r="D67" s="29" t="s">
        <v>25</v>
      </c>
      <c r="E67" s="29"/>
      <c r="F67" s="73">
        <f>F68+F69+F70</f>
        <v>1300.5</v>
      </c>
      <c r="G67" s="73">
        <f t="shared" ref="G67:P67" si="26">G68+G69+G70</f>
        <v>0</v>
      </c>
      <c r="H67" s="73">
        <f t="shared" si="26"/>
        <v>0</v>
      </c>
      <c r="I67" s="73">
        <f t="shared" si="26"/>
        <v>0</v>
      </c>
      <c r="J67" s="73">
        <f t="shared" si="26"/>
        <v>1300.5</v>
      </c>
      <c r="K67" s="73">
        <f t="shared" si="26"/>
        <v>0</v>
      </c>
      <c r="L67" s="74">
        <v>1300.5</v>
      </c>
      <c r="M67" s="73">
        <f t="shared" si="26"/>
        <v>520.20000000000005</v>
      </c>
      <c r="N67" s="73">
        <f t="shared" si="26"/>
        <v>780.3</v>
      </c>
      <c r="O67" s="73">
        <f t="shared" si="26"/>
        <v>0</v>
      </c>
      <c r="P67" s="75">
        <f t="shared" si="26"/>
        <v>0</v>
      </c>
      <c r="Q67" s="49"/>
      <c r="R67" s="109"/>
      <c r="S67" s="109"/>
      <c r="T67" s="109"/>
    </row>
    <row r="68" spans="1:20" s="255" customFormat="1" ht="47.25" x14ac:dyDescent="0.25">
      <c r="A68" s="248" t="s">
        <v>82</v>
      </c>
      <c r="B68" s="249" t="s">
        <v>83</v>
      </c>
      <c r="C68" s="250">
        <v>0.33400000000000002</v>
      </c>
      <c r="D68" s="117" t="s">
        <v>25</v>
      </c>
      <c r="E68" s="238" t="s">
        <v>468</v>
      </c>
      <c r="F68" s="251">
        <v>501</v>
      </c>
      <c r="G68" s="118"/>
      <c r="H68" s="118"/>
      <c r="I68" s="251"/>
      <c r="J68" s="251">
        <v>501</v>
      </c>
      <c r="K68" s="252"/>
      <c r="L68" s="252">
        <v>501</v>
      </c>
      <c r="M68" s="251">
        <f>F68*40%</f>
        <v>200.4</v>
      </c>
      <c r="N68" s="251">
        <f>L68*60%</f>
        <v>300.59999999999997</v>
      </c>
      <c r="O68" s="251"/>
      <c r="P68" s="253"/>
      <c r="Q68" s="103"/>
      <c r="R68" s="254"/>
      <c r="S68" s="254"/>
      <c r="T68" s="254"/>
    </row>
    <row r="69" spans="1:20" s="255" customFormat="1" ht="47.25" x14ac:dyDescent="0.25">
      <c r="A69" s="248" t="s">
        <v>84</v>
      </c>
      <c r="B69" s="249" t="s">
        <v>85</v>
      </c>
      <c r="C69" s="250">
        <v>0.39600000000000002</v>
      </c>
      <c r="D69" s="117" t="s">
        <v>25</v>
      </c>
      <c r="E69" s="238" t="s">
        <v>468</v>
      </c>
      <c r="F69" s="251">
        <v>594</v>
      </c>
      <c r="G69" s="118"/>
      <c r="H69" s="118"/>
      <c r="I69" s="251"/>
      <c r="J69" s="251">
        <v>594</v>
      </c>
      <c r="K69" s="252"/>
      <c r="L69" s="252">
        <v>594</v>
      </c>
      <c r="M69" s="251">
        <f>F69*40%</f>
        <v>237.60000000000002</v>
      </c>
      <c r="N69" s="251">
        <f>L69*60%</f>
        <v>356.4</v>
      </c>
      <c r="O69" s="251"/>
      <c r="P69" s="253"/>
      <c r="Q69" s="103"/>
      <c r="R69" s="254"/>
      <c r="S69" s="254"/>
      <c r="T69" s="254"/>
    </row>
    <row r="70" spans="1:20" s="255" customFormat="1" ht="47.25" x14ac:dyDescent="0.25">
      <c r="A70" s="248" t="s">
        <v>86</v>
      </c>
      <c r="B70" s="249" t="s">
        <v>87</v>
      </c>
      <c r="C70" s="250">
        <v>0.13700000000000001</v>
      </c>
      <c r="D70" s="117" t="s">
        <v>25</v>
      </c>
      <c r="E70" s="238" t="s">
        <v>468</v>
      </c>
      <c r="F70" s="251">
        <v>205.5</v>
      </c>
      <c r="G70" s="118"/>
      <c r="H70" s="118"/>
      <c r="I70" s="251"/>
      <c r="J70" s="251">
        <v>205.5</v>
      </c>
      <c r="K70" s="252"/>
      <c r="L70" s="252">
        <v>205.5</v>
      </c>
      <c r="M70" s="251">
        <f>F70*40%</f>
        <v>82.2</v>
      </c>
      <c r="N70" s="251">
        <f>L70*60%</f>
        <v>123.3</v>
      </c>
      <c r="O70" s="251"/>
      <c r="P70" s="253"/>
      <c r="Q70" s="103"/>
      <c r="R70" s="254"/>
      <c r="S70" s="254"/>
      <c r="T70" s="254"/>
    </row>
    <row r="71" spans="1:20" s="72" customFormat="1" x14ac:dyDescent="0.25">
      <c r="A71" s="66">
        <v>2</v>
      </c>
      <c r="B71" s="27" t="s">
        <v>65</v>
      </c>
      <c r="C71" s="28"/>
      <c r="D71" s="29"/>
      <c r="E71" s="29"/>
      <c r="F71" s="73">
        <f>F72+F73+F74+F75</f>
        <v>1023</v>
      </c>
      <c r="G71" s="73">
        <f t="shared" ref="G71:P71" si="27">G72+G73+G74+G75</f>
        <v>0</v>
      </c>
      <c r="H71" s="73">
        <f t="shared" si="27"/>
        <v>0</v>
      </c>
      <c r="I71" s="73">
        <f t="shared" si="27"/>
        <v>561</v>
      </c>
      <c r="J71" s="73">
        <f t="shared" si="27"/>
        <v>462</v>
      </c>
      <c r="K71" s="73">
        <f t="shared" si="27"/>
        <v>0</v>
      </c>
      <c r="L71" s="73">
        <v>1023</v>
      </c>
      <c r="M71" s="73">
        <f t="shared" si="27"/>
        <v>716.09999999999991</v>
      </c>
      <c r="N71" s="73">
        <f t="shared" si="27"/>
        <v>204.60000000000002</v>
      </c>
      <c r="O71" s="73">
        <f t="shared" si="27"/>
        <v>92.07</v>
      </c>
      <c r="P71" s="75">
        <f t="shared" si="27"/>
        <v>10.23</v>
      </c>
      <c r="Q71" s="49"/>
      <c r="R71" s="109"/>
      <c r="S71" s="109"/>
      <c r="T71" s="109"/>
    </row>
    <row r="72" spans="1:20" s="72" customFormat="1" ht="47.25" x14ac:dyDescent="0.25">
      <c r="A72" s="76" t="s">
        <v>88</v>
      </c>
      <c r="B72" s="51" t="s">
        <v>89</v>
      </c>
      <c r="C72" s="79">
        <v>1</v>
      </c>
      <c r="D72" s="80" t="s">
        <v>39</v>
      </c>
      <c r="E72" s="80"/>
      <c r="F72" s="77">
        <v>132</v>
      </c>
      <c r="G72" s="45"/>
      <c r="H72" s="45"/>
      <c r="I72" s="77">
        <v>132</v>
      </c>
      <c r="J72" s="60"/>
      <c r="K72" s="60"/>
      <c r="L72" s="60">
        <v>132</v>
      </c>
      <c r="M72" s="77">
        <f>L72*70%</f>
        <v>92.399999999999991</v>
      </c>
      <c r="N72" s="77">
        <f>L72*20%</f>
        <v>26.400000000000002</v>
      </c>
      <c r="O72" s="77">
        <f>F72*9%</f>
        <v>11.879999999999999</v>
      </c>
      <c r="P72" s="78">
        <f>L72*1%</f>
        <v>1.32</v>
      </c>
      <c r="Q72" s="49"/>
      <c r="R72" s="109"/>
      <c r="S72" s="109"/>
      <c r="T72" s="109"/>
    </row>
    <row r="73" spans="1:20" s="72" customFormat="1" ht="31.5" x14ac:dyDescent="0.25">
      <c r="A73" s="76" t="s">
        <v>90</v>
      </c>
      <c r="B73" s="51" t="s">
        <v>91</v>
      </c>
      <c r="C73" s="79">
        <v>1</v>
      </c>
      <c r="D73" s="80" t="s">
        <v>39</v>
      </c>
      <c r="E73" s="80"/>
      <c r="F73" s="77">
        <v>198</v>
      </c>
      <c r="G73" s="45"/>
      <c r="H73" s="45"/>
      <c r="I73" s="77">
        <v>198</v>
      </c>
      <c r="J73" s="60"/>
      <c r="K73" s="60"/>
      <c r="L73" s="60">
        <v>198</v>
      </c>
      <c r="M73" s="77">
        <f>L73*70%</f>
        <v>138.6</v>
      </c>
      <c r="N73" s="77">
        <f>L73*20%</f>
        <v>39.6</v>
      </c>
      <c r="O73" s="77">
        <f>F73*9%</f>
        <v>17.82</v>
      </c>
      <c r="P73" s="78">
        <f>L73*1%</f>
        <v>1.98</v>
      </c>
      <c r="Q73" s="49"/>
      <c r="R73" s="109"/>
      <c r="S73" s="109"/>
      <c r="T73" s="109"/>
    </row>
    <row r="74" spans="1:20" s="72" customFormat="1" ht="47.25" x14ac:dyDescent="0.25">
      <c r="A74" s="76" t="s">
        <v>90</v>
      </c>
      <c r="B74" s="51" t="s">
        <v>92</v>
      </c>
      <c r="C74" s="79">
        <v>1</v>
      </c>
      <c r="D74" s="80" t="s">
        <v>39</v>
      </c>
      <c r="E74" s="80"/>
      <c r="F74" s="77">
        <v>231</v>
      </c>
      <c r="G74" s="45"/>
      <c r="H74" s="45"/>
      <c r="I74" s="77">
        <v>231</v>
      </c>
      <c r="J74" s="60"/>
      <c r="K74" s="60"/>
      <c r="L74" s="60">
        <v>231</v>
      </c>
      <c r="M74" s="77">
        <f>L74*70%</f>
        <v>161.69999999999999</v>
      </c>
      <c r="N74" s="77">
        <f>L74*20%</f>
        <v>46.2</v>
      </c>
      <c r="O74" s="77">
        <f>F74*9%</f>
        <v>20.79</v>
      </c>
      <c r="P74" s="78">
        <f>L74*1%</f>
        <v>2.31</v>
      </c>
      <c r="Q74" s="49"/>
      <c r="R74" s="109"/>
      <c r="S74" s="109"/>
      <c r="T74" s="109"/>
    </row>
    <row r="75" spans="1:20" s="72" customFormat="1" ht="47.25" x14ac:dyDescent="0.25">
      <c r="A75" s="76" t="s">
        <v>93</v>
      </c>
      <c r="B75" s="51" t="s">
        <v>94</v>
      </c>
      <c r="C75" s="79">
        <v>1</v>
      </c>
      <c r="D75" s="53" t="s">
        <v>39</v>
      </c>
      <c r="E75" s="53"/>
      <c r="F75" s="77">
        <v>462</v>
      </c>
      <c r="G75" s="45"/>
      <c r="H75" s="45"/>
      <c r="I75" s="77"/>
      <c r="J75" s="77">
        <v>462</v>
      </c>
      <c r="K75" s="60"/>
      <c r="L75" s="60">
        <v>462</v>
      </c>
      <c r="M75" s="77">
        <f>L75*70%</f>
        <v>323.39999999999998</v>
      </c>
      <c r="N75" s="77">
        <f>L75*20%</f>
        <v>92.4</v>
      </c>
      <c r="O75" s="77">
        <f>F75*9%</f>
        <v>41.58</v>
      </c>
      <c r="P75" s="78">
        <f>L75*1%</f>
        <v>4.62</v>
      </c>
      <c r="Q75" s="49"/>
      <c r="R75" s="109"/>
      <c r="S75" s="109"/>
      <c r="T75" s="109"/>
    </row>
    <row r="76" spans="1:20" s="72" customFormat="1" x14ac:dyDescent="0.25">
      <c r="A76" s="66">
        <v>3</v>
      </c>
      <c r="B76" s="67" t="s">
        <v>36</v>
      </c>
      <c r="C76" s="68"/>
      <c r="D76" s="69"/>
      <c r="E76" s="69"/>
      <c r="F76" s="70">
        <f>F77+F78</f>
        <v>1220</v>
      </c>
      <c r="G76" s="70">
        <f t="shared" ref="G76:P76" si="28">G77+G78</f>
        <v>0</v>
      </c>
      <c r="H76" s="70">
        <f t="shared" si="28"/>
        <v>0</v>
      </c>
      <c r="I76" s="70">
        <f t="shared" si="28"/>
        <v>530</v>
      </c>
      <c r="J76" s="70">
        <f t="shared" si="28"/>
        <v>690</v>
      </c>
      <c r="K76" s="70">
        <f t="shared" si="28"/>
        <v>0</v>
      </c>
      <c r="L76" s="70">
        <v>1220</v>
      </c>
      <c r="M76" s="70">
        <f t="shared" si="28"/>
        <v>854</v>
      </c>
      <c r="N76" s="70">
        <f t="shared" si="28"/>
        <v>244</v>
      </c>
      <c r="O76" s="70">
        <f t="shared" si="28"/>
        <v>109.79999999999998</v>
      </c>
      <c r="P76" s="71">
        <f t="shared" si="28"/>
        <v>12.2</v>
      </c>
      <c r="Q76" s="49"/>
      <c r="R76" s="109"/>
      <c r="S76" s="109"/>
      <c r="T76" s="109"/>
    </row>
    <row r="77" spans="1:20" ht="31.5" x14ac:dyDescent="0.25">
      <c r="A77" s="76" t="s">
        <v>95</v>
      </c>
      <c r="B77" s="81" t="s">
        <v>96</v>
      </c>
      <c r="C77" s="79">
        <v>1</v>
      </c>
      <c r="D77" s="80" t="s">
        <v>39</v>
      </c>
      <c r="E77" s="80"/>
      <c r="F77" s="60">
        <v>690</v>
      </c>
      <c r="G77" s="60"/>
      <c r="H77" s="60"/>
      <c r="I77" s="60"/>
      <c r="J77" s="60">
        <v>690</v>
      </c>
      <c r="K77" s="60"/>
      <c r="L77" s="60">
        <v>690</v>
      </c>
      <c r="M77" s="77">
        <f>L77*70%</f>
        <v>482.99999999999994</v>
      </c>
      <c r="N77" s="77">
        <f t="shared" ref="N77:N78" si="29">L77*20%</f>
        <v>138</v>
      </c>
      <c r="O77" s="77">
        <f>F77*9%</f>
        <v>62.099999999999994</v>
      </c>
      <c r="P77" s="78">
        <f>L77*1%</f>
        <v>6.9</v>
      </c>
    </row>
    <row r="78" spans="1:20" s="65" customFormat="1" ht="31.5" x14ac:dyDescent="0.25">
      <c r="A78" s="76" t="s">
        <v>97</v>
      </c>
      <c r="B78" s="81" t="s">
        <v>98</v>
      </c>
      <c r="C78" s="79">
        <v>1</v>
      </c>
      <c r="D78" s="80" t="s">
        <v>39</v>
      </c>
      <c r="E78" s="80"/>
      <c r="F78" s="60">
        <v>530</v>
      </c>
      <c r="G78" s="60"/>
      <c r="H78" s="60"/>
      <c r="I78" s="60">
        <v>530</v>
      </c>
      <c r="J78" s="60"/>
      <c r="K78" s="60"/>
      <c r="L78" s="60">
        <v>530</v>
      </c>
      <c r="M78" s="77">
        <f>L78*70%</f>
        <v>371</v>
      </c>
      <c r="N78" s="77">
        <f t="shared" si="29"/>
        <v>106</v>
      </c>
      <c r="O78" s="77">
        <f>F78*9%</f>
        <v>47.699999999999996</v>
      </c>
      <c r="P78" s="78">
        <f>L78*1%</f>
        <v>5.3</v>
      </c>
      <c r="Q78" s="9"/>
      <c r="R78" s="108"/>
      <c r="S78" s="108"/>
      <c r="T78" s="108"/>
    </row>
    <row r="79" spans="1:20" x14ac:dyDescent="0.25">
      <c r="A79" s="76"/>
      <c r="B79" s="81"/>
      <c r="C79" s="63"/>
      <c r="D79" s="62"/>
      <c r="E79" s="80"/>
      <c r="F79" s="62"/>
      <c r="G79" s="62"/>
      <c r="H79" s="62"/>
      <c r="I79" s="62"/>
      <c r="J79" s="62"/>
      <c r="K79" s="62"/>
      <c r="L79" s="62"/>
      <c r="M79" s="62"/>
      <c r="N79" s="62"/>
      <c r="O79" s="62"/>
      <c r="P79" s="82"/>
      <c r="Q79" s="10"/>
    </row>
    <row r="80" spans="1:20" x14ac:dyDescent="0.25">
      <c r="A80" s="61"/>
      <c r="B80" s="62"/>
      <c r="C80" s="63"/>
      <c r="D80" s="62"/>
      <c r="E80" s="80"/>
      <c r="F80" s="60"/>
      <c r="G80" s="46"/>
      <c r="H80" s="46"/>
      <c r="I80" s="60"/>
      <c r="J80" s="60"/>
      <c r="K80" s="60"/>
      <c r="L80" s="60"/>
      <c r="M80" s="60"/>
      <c r="N80" s="60"/>
      <c r="O80" s="60"/>
      <c r="P80" s="64"/>
      <c r="Q80" s="8"/>
    </row>
    <row r="81" spans="1:20" x14ac:dyDescent="0.25">
      <c r="A81" s="19" t="s">
        <v>99</v>
      </c>
      <c r="B81" s="20" t="s">
        <v>100</v>
      </c>
      <c r="C81" s="21"/>
      <c r="D81" s="22"/>
      <c r="E81" s="22"/>
      <c r="F81" s="23">
        <f>F82</f>
        <v>3495.03</v>
      </c>
      <c r="G81" s="23" t="e">
        <f>SUM(#REF!)</f>
        <v>#REF!</v>
      </c>
      <c r="H81" s="23" t="e">
        <f>SUM(#REF!)</f>
        <v>#REF!</v>
      </c>
      <c r="I81" s="23">
        <f t="shared" ref="I81:P81" si="30">I82</f>
        <v>2195.0300000000002</v>
      </c>
      <c r="J81" s="23">
        <f t="shared" si="30"/>
        <v>1300</v>
      </c>
      <c r="K81" s="23">
        <f t="shared" si="30"/>
        <v>0</v>
      </c>
      <c r="L81" s="23">
        <f t="shared" si="30"/>
        <v>3495.03</v>
      </c>
      <c r="M81" s="23">
        <f t="shared" si="30"/>
        <v>2146.5210000000002</v>
      </c>
      <c r="N81" s="23">
        <f t="shared" si="30"/>
        <v>1223.7574999999999</v>
      </c>
      <c r="O81" s="23">
        <f t="shared" si="30"/>
        <v>124.75149999999999</v>
      </c>
      <c r="P81" s="25">
        <f t="shared" si="30"/>
        <v>0</v>
      </c>
      <c r="Q81" s="8"/>
    </row>
    <row r="82" spans="1:20" ht="31.5" x14ac:dyDescent="0.25">
      <c r="A82" s="66" t="s">
        <v>20</v>
      </c>
      <c r="B82" s="67" t="s">
        <v>80</v>
      </c>
      <c r="C82" s="69"/>
      <c r="D82" s="69"/>
      <c r="E82" s="69"/>
      <c r="F82" s="70">
        <f>F83+F87+F85</f>
        <v>3495.03</v>
      </c>
      <c r="G82" s="70">
        <f>G87+G85</f>
        <v>0</v>
      </c>
      <c r="H82" s="70">
        <f>H87+H85</f>
        <v>0</v>
      </c>
      <c r="I82" s="70">
        <f>I83+I87+I85</f>
        <v>2195.0300000000002</v>
      </c>
      <c r="J82" s="70">
        <f>J87+J85</f>
        <v>1300</v>
      </c>
      <c r="K82" s="70">
        <f>K87+K85</f>
        <v>0</v>
      </c>
      <c r="L82" s="83">
        <f>L83+L87+L85</f>
        <v>3495.03</v>
      </c>
      <c r="M82" s="83">
        <f t="shared" ref="M82:P82" si="31">M83+M87+M85</f>
        <v>2146.5210000000002</v>
      </c>
      <c r="N82" s="83">
        <f t="shared" si="31"/>
        <v>1223.7574999999999</v>
      </c>
      <c r="O82" s="83">
        <f t="shared" si="31"/>
        <v>124.75149999999999</v>
      </c>
      <c r="P82" s="84">
        <f t="shared" si="31"/>
        <v>0</v>
      </c>
      <c r="Q82" s="8"/>
    </row>
    <row r="83" spans="1:20" x14ac:dyDescent="0.25">
      <c r="A83" s="66">
        <v>1</v>
      </c>
      <c r="B83" s="67" t="s">
        <v>22</v>
      </c>
      <c r="C83" s="69"/>
      <c r="D83" s="69"/>
      <c r="E83" s="69"/>
      <c r="F83" s="70">
        <f>F84</f>
        <v>1000</v>
      </c>
      <c r="G83" s="70"/>
      <c r="H83" s="70"/>
      <c r="I83" s="70">
        <f>I84</f>
        <v>1000</v>
      </c>
      <c r="J83" s="70"/>
      <c r="K83" s="70"/>
      <c r="L83" s="83">
        <f>L84</f>
        <v>1000</v>
      </c>
      <c r="M83" s="83">
        <f t="shared" ref="M83:O83" si="32">M84</f>
        <v>400</v>
      </c>
      <c r="N83" s="83">
        <f t="shared" si="32"/>
        <v>600</v>
      </c>
      <c r="O83" s="83">
        <f t="shared" si="32"/>
        <v>0</v>
      </c>
      <c r="P83" s="71">
        <f>P84</f>
        <v>0</v>
      </c>
      <c r="Q83" s="8"/>
    </row>
    <row r="84" spans="1:20" ht="47.25" x14ac:dyDescent="0.25">
      <c r="A84" s="66">
        <v>1</v>
      </c>
      <c r="B84" s="81" t="s">
        <v>465</v>
      </c>
      <c r="C84" s="80">
        <v>0.9</v>
      </c>
      <c r="D84" s="80" t="s">
        <v>25</v>
      </c>
      <c r="E84" s="44" t="s">
        <v>101</v>
      </c>
      <c r="F84" s="60">
        <v>1000</v>
      </c>
      <c r="G84" s="60"/>
      <c r="H84" s="60"/>
      <c r="I84" s="60">
        <v>1000</v>
      </c>
      <c r="J84" s="60"/>
      <c r="K84" s="60"/>
      <c r="L84" s="62">
        <v>1000</v>
      </c>
      <c r="M84" s="62">
        <f>L84*40%</f>
        <v>400</v>
      </c>
      <c r="N84" s="62">
        <f>L84*60%</f>
        <v>600</v>
      </c>
      <c r="O84" s="62"/>
      <c r="P84" s="64"/>
      <c r="Q84" s="8"/>
    </row>
    <row r="85" spans="1:20" x14ac:dyDescent="0.25">
      <c r="A85" s="66" t="s">
        <v>51</v>
      </c>
      <c r="B85" s="67" t="s">
        <v>65</v>
      </c>
      <c r="C85" s="69"/>
      <c r="D85" s="69"/>
      <c r="E85" s="69"/>
      <c r="F85" s="70">
        <f>F86</f>
        <v>195.03</v>
      </c>
      <c r="G85" s="70">
        <f>SUM(G86:G86)</f>
        <v>0</v>
      </c>
      <c r="H85" s="70">
        <f>SUM(H86:H86)</f>
        <v>0</v>
      </c>
      <c r="I85" s="70">
        <f>I86</f>
        <v>195.03</v>
      </c>
      <c r="J85" s="70">
        <f t="shared" ref="J85:K85" si="33">J86</f>
        <v>0</v>
      </c>
      <c r="K85" s="70">
        <f t="shared" si="33"/>
        <v>0</v>
      </c>
      <c r="L85" s="83">
        <f>L86</f>
        <v>195.03</v>
      </c>
      <c r="M85" s="83">
        <f t="shared" ref="M85:O85" si="34">M86</f>
        <v>136.52099999999999</v>
      </c>
      <c r="N85" s="83">
        <f t="shared" si="34"/>
        <v>48.7575</v>
      </c>
      <c r="O85" s="83">
        <f t="shared" si="34"/>
        <v>9.7515000000000001</v>
      </c>
      <c r="P85" s="71">
        <f>SUM(P86:P86)</f>
        <v>0</v>
      </c>
      <c r="Q85" s="8"/>
    </row>
    <row r="86" spans="1:20" ht="31.5" x14ac:dyDescent="0.25">
      <c r="A86" s="76">
        <v>1</v>
      </c>
      <c r="B86" s="51" t="s">
        <v>102</v>
      </c>
      <c r="C86" s="80" t="s">
        <v>39</v>
      </c>
      <c r="D86" s="80">
        <v>1</v>
      </c>
      <c r="E86" s="80"/>
      <c r="F86" s="60">
        <v>195.03</v>
      </c>
      <c r="G86" s="60"/>
      <c r="H86" s="60"/>
      <c r="I86" s="60">
        <f>L86</f>
        <v>195.03</v>
      </c>
      <c r="J86" s="60"/>
      <c r="K86" s="60"/>
      <c r="L86" s="62">
        <v>195.03</v>
      </c>
      <c r="M86" s="62">
        <f>L86*70%</f>
        <v>136.52099999999999</v>
      </c>
      <c r="N86" s="62">
        <f>L86*25%</f>
        <v>48.7575</v>
      </c>
      <c r="O86" s="62">
        <f>L86*5%</f>
        <v>9.7515000000000001</v>
      </c>
      <c r="P86" s="64"/>
      <c r="Q86" s="8"/>
    </row>
    <row r="87" spans="1:20" x14ac:dyDescent="0.25">
      <c r="A87" s="66" t="s">
        <v>40</v>
      </c>
      <c r="B87" s="67" t="s">
        <v>63</v>
      </c>
      <c r="C87" s="69"/>
      <c r="D87" s="69"/>
      <c r="E87" s="69"/>
      <c r="F87" s="70">
        <f>SUM(F88:F91)</f>
        <v>2300</v>
      </c>
      <c r="G87" s="70">
        <f t="shared" ref="G87:P87" si="35">G88</f>
        <v>0</v>
      </c>
      <c r="H87" s="70">
        <f t="shared" si="35"/>
        <v>0</v>
      </c>
      <c r="I87" s="70">
        <f>SUM(I88:I89)</f>
        <v>1000</v>
      </c>
      <c r="J87" s="70">
        <f>SUM(J90:J91)</f>
        <v>1300</v>
      </c>
      <c r="K87" s="70">
        <f t="shared" si="35"/>
        <v>0</v>
      </c>
      <c r="L87" s="83">
        <f>SUM(L88:L91)</f>
        <v>2300</v>
      </c>
      <c r="M87" s="83">
        <f t="shared" ref="M87:O87" si="36">SUM(M88:M91)</f>
        <v>1610</v>
      </c>
      <c r="N87" s="83">
        <f t="shared" si="36"/>
        <v>575</v>
      </c>
      <c r="O87" s="83">
        <f t="shared" si="36"/>
        <v>115</v>
      </c>
      <c r="P87" s="71">
        <f t="shared" si="35"/>
        <v>0</v>
      </c>
      <c r="Q87" s="8"/>
    </row>
    <row r="88" spans="1:20" ht="31.5" x14ac:dyDescent="0.25">
      <c r="A88" s="76">
        <v>1</v>
      </c>
      <c r="B88" s="81" t="s">
        <v>103</v>
      </c>
      <c r="C88" s="80">
        <v>0.2</v>
      </c>
      <c r="D88" s="80" t="s">
        <v>25</v>
      </c>
      <c r="E88" s="80"/>
      <c r="F88" s="60">
        <v>400</v>
      </c>
      <c r="G88" s="60">
        <f t="shared" ref="G88:K88" si="37">SUM(G89:G90)</f>
        <v>0</v>
      </c>
      <c r="H88" s="60">
        <f t="shared" si="37"/>
        <v>0</v>
      </c>
      <c r="I88" s="60">
        <f>F88</f>
        <v>400</v>
      </c>
      <c r="J88" s="60"/>
      <c r="K88" s="60">
        <f t="shared" si="37"/>
        <v>0</v>
      </c>
      <c r="L88" s="62">
        <v>400</v>
      </c>
      <c r="M88" s="62">
        <f t="shared" ref="M88:M91" si="38">L88*70%</f>
        <v>280</v>
      </c>
      <c r="N88" s="62">
        <f t="shared" ref="N88:N91" si="39">L88*25%</f>
        <v>100</v>
      </c>
      <c r="O88" s="62">
        <f t="shared" ref="O88:O91" si="40">L88*5%</f>
        <v>20</v>
      </c>
      <c r="P88" s="64"/>
      <c r="Q88" s="8"/>
    </row>
    <row r="89" spans="1:20" ht="47.25" x14ac:dyDescent="0.25">
      <c r="A89" s="76">
        <v>2</v>
      </c>
      <c r="B89" s="81" t="s">
        <v>104</v>
      </c>
      <c r="C89" s="80">
        <v>0.3</v>
      </c>
      <c r="D89" s="80" t="s">
        <v>105</v>
      </c>
      <c r="E89" s="80"/>
      <c r="F89" s="60">
        <v>600</v>
      </c>
      <c r="G89" s="70">
        <f>SUM(G90:G91)</f>
        <v>0</v>
      </c>
      <c r="H89" s="70">
        <f>SUM(H90:H91)</f>
        <v>0</v>
      </c>
      <c r="I89" s="60">
        <f>F89</f>
        <v>600</v>
      </c>
      <c r="J89" s="60"/>
      <c r="K89" s="60"/>
      <c r="L89" s="62">
        <v>600</v>
      </c>
      <c r="M89" s="62">
        <f t="shared" si="38"/>
        <v>420</v>
      </c>
      <c r="N89" s="62">
        <f t="shared" si="39"/>
        <v>150</v>
      </c>
      <c r="O89" s="62">
        <f t="shared" si="40"/>
        <v>30</v>
      </c>
      <c r="P89" s="64"/>
      <c r="Q89" s="8"/>
    </row>
    <row r="90" spans="1:20" ht="47.25" x14ac:dyDescent="0.25">
      <c r="A90" s="76">
        <v>3</v>
      </c>
      <c r="B90" s="51" t="s">
        <v>106</v>
      </c>
      <c r="C90" s="80">
        <v>0.2</v>
      </c>
      <c r="D90" s="80" t="s">
        <v>105</v>
      </c>
      <c r="E90" s="80"/>
      <c r="F90" s="60">
        <v>400</v>
      </c>
      <c r="G90" s="60"/>
      <c r="H90" s="60"/>
      <c r="I90" s="60"/>
      <c r="J90" s="60">
        <f>F90</f>
        <v>400</v>
      </c>
      <c r="K90" s="60"/>
      <c r="L90" s="62">
        <v>400</v>
      </c>
      <c r="M90" s="62">
        <f t="shared" si="38"/>
        <v>280</v>
      </c>
      <c r="N90" s="62">
        <f t="shared" si="39"/>
        <v>100</v>
      </c>
      <c r="O90" s="62">
        <f t="shared" si="40"/>
        <v>20</v>
      </c>
      <c r="P90" s="64"/>
      <c r="Q90" s="8"/>
    </row>
    <row r="91" spans="1:20" ht="31.5" x14ac:dyDescent="0.25">
      <c r="A91" s="76">
        <v>4</v>
      </c>
      <c r="B91" s="51" t="s">
        <v>107</v>
      </c>
      <c r="C91" s="80">
        <v>0.5</v>
      </c>
      <c r="D91" s="80" t="s">
        <v>108</v>
      </c>
      <c r="E91" s="80"/>
      <c r="F91" s="60">
        <v>900</v>
      </c>
      <c r="G91" s="60"/>
      <c r="H91" s="60"/>
      <c r="I91" s="60"/>
      <c r="J91" s="60">
        <f>F91</f>
        <v>900</v>
      </c>
      <c r="K91" s="60"/>
      <c r="L91" s="62">
        <v>900</v>
      </c>
      <c r="M91" s="62">
        <f t="shared" si="38"/>
        <v>630</v>
      </c>
      <c r="N91" s="62">
        <f t="shared" si="39"/>
        <v>225</v>
      </c>
      <c r="O91" s="62">
        <f t="shared" si="40"/>
        <v>45</v>
      </c>
      <c r="P91" s="64"/>
      <c r="Q91" s="8"/>
    </row>
    <row r="92" spans="1:20" s="59" customFormat="1" x14ac:dyDescent="0.25">
      <c r="A92" s="76"/>
      <c r="B92" s="51"/>
      <c r="C92" s="80"/>
      <c r="D92" s="80"/>
      <c r="E92" s="80"/>
      <c r="F92" s="60"/>
      <c r="G92" s="60"/>
      <c r="H92" s="60"/>
      <c r="I92" s="60"/>
      <c r="J92" s="60"/>
      <c r="K92" s="60"/>
      <c r="L92" s="62"/>
      <c r="M92" s="62"/>
      <c r="N92" s="62"/>
      <c r="O92" s="62"/>
      <c r="P92" s="64"/>
      <c r="Q92" s="106"/>
      <c r="R92" s="107"/>
      <c r="S92" s="107"/>
      <c r="T92" s="107"/>
    </row>
    <row r="93" spans="1:20" x14ac:dyDescent="0.25">
      <c r="A93" s="19"/>
      <c r="B93" s="20" t="s">
        <v>109</v>
      </c>
      <c r="C93" s="22"/>
      <c r="D93" s="22"/>
      <c r="E93" s="22"/>
      <c r="F93" s="23">
        <f>F94+F97+F100</f>
        <v>5150</v>
      </c>
      <c r="G93" s="23"/>
      <c r="H93" s="23"/>
      <c r="I93" s="23">
        <f t="shared" ref="I93:P93" si="41">I94+I97+I100</f>
        <v>5150</v>
      </c>
      <c r="J93" s="23">
        <f t="shared" si="41"/>
        <v>0</v>
      </c>
      <c r="K93" s="23">
        <f t="shared" si="41"/>
        <v>0</v>
      </c>
      <c r="L93" s="85">
        <f t="shared" si="41"/>
        <v>5150</v>
      </c>
      <c r="M93" s="85">
        <f t="shared" si="41"/>
        <v>3605</v>
      </c>
      <c r="N93" s="85">
        <f t="shared" si="41"/>
        <v>1180</v>
      </c>
      <c r="O93" s="85">
        <f t="shared" si="41"/>
        <v>0</v>
      </c>
      <c r="P93" s="25">
        <f t="shared" si="41"/>
        <v>365</v>
      </c>
      <c r="R93" s="154">
        <f>Q93-400</f>
        <v>-400</v>
      </c>
    </row>
    <row r="94" spans="1:20" x14ac:dyDescent="0.25">
      <c r="A94" s="26">
        <v>1</v>
      </c>
      <c r="B94" s="27" t="s">
        <v>65</v>
      </c>
      <c r="C94" s="28"/>
      <c r="D94" s="29"/>
      <c r="E94" s="29"/>
      <c r="F94" s="86">
        <f t="shared" ref="F94:K94" si="42">F95+F96</f>
        <v>1200</v>
      </c>
      <c r="G94" s="86">
        <f t="shared" si="42"/>
        <v>0</v>
      </c>
      <c r="H94" s="86">
        <f t="shared" si="42"/>
        <v>0</v>
      </c>
      <c r="I94" s="86">
        <f t="shared" si="42"/>
        <v>1200</v>
      </c>
      <c r="J94" s="86">
        <f t="shared" si="42"/>
        <v>0</v>
      </c>
      <c r="K94" s="86">
        <f t="shared" si="42"/>
        <v>0</v>
      </c>
      <c r="L94" s="86">
        <f>M94+N94+O94+P94</f>
        <v>1200</v>
      </c>
      <c r="M94" s="86">
        <f>M95+M96</f>
        <v>840</v>
      </c>
      <c r="N94" s="86">
        <f>N95+N96</f>
        <v>240</v>
      </c>
      <c r="O94" s="86">
        <f>O95+O96</f>
        <v>0</v>
      </c>
      <c r="P94" s="87">
        <f>P95+P96</f>
        <v>120</v>
      </c>
    </row>
    <row r="95" spans="1:20" ht="31.5" x14ac:dyDescent="0.25">
      <c r="A95" s="41"/>
      <c r="B95" s="51" t="s">
        <v>110</v>
      </c>
      <c r="C95" s="52"/>
      <c r="D95" s="53"/>
      <c r="E95" s="53"/>
      <c r="F95" s="55">
        <f>L95</f>
        <v>700</v>
      </c>
      <c r="G95" s="55"/>
      <c r="H95" s="55"/>
      <c r="I95" s="55">
        <v>700</v>
      </c>
      <c r="J95" s="55"/>
      <c r="K95" s="55"/>
      <c r="L95" s="55">
        <v>700</v>
      </c>
      <c r="M95" s="45">
        <f>L95*70%</f>
        <v>489.99999999999994</v>
      </c>
      <c r="N95" s="45">
        <f>L95*20%</f>
        <v>140</v>
      </c>
      <c r="O95" s="45"/>
      <c r="P95" s="48">
        <f>L95*10%</f>
        <v>70</v>
      </c>
    </row>
    <row r="96" spans="1:20" ht="31.5" x14ac:dyDescent="0.25">
      <c r="A96" s="41"/>
      <c r="B96" s="51" t="s">
        <v>111</v>
      </c>
      <c r="C96" s="52"/>
      <c r="D96" s="53"/>
      <c r="E96" s="53"/>
      <c r="F96" s="55">
        <f>L96</f>
        <v>500</v>
      </c>
      <c r="G96" s="55"/>
      <c r="H96" s="55"/>
      <c r="I96" s="55">
        <v>500</v>
      </c>
      <c r="J96" s="55"/>
      <c r="K96" s="55"/>
      <c r="L96" s="55">
        <v>500</v>
      </c>
      <c r="M96" s="45">
        <f>L96*70%</f>
        <v>350</v>
      </c>
      <c r="N96" s="45">
        <f>L96*20%</f>
        <v>100</v>
      </c>
      <c r="O96" s="45"/>
      <c r="P96" s="48">
        <f>L96*10%</f>
        <v>50</v>
      </c>
    </row>
    <row r="97" spans="1:20" x14ac:dyDescent="0.25">
      <c r="A97" s="26">
        <v>2</v>
      </c>
      <c r="B97" s="27" t="s">
        <v>28</v>
      </c>
      <c r="C97" s="28"/>
      <c r="D97" s="29"/>
      <c r="E97" s="29"/>
      <c r="F97" s="86">
        <f t="shared" ref="F97:P97" si="43">SUM(F98:F99)</f>
        <v>3000</v>
      </c>
      <c r="G97" s="86">
        <f t="shared" si="43"/>
        <v>0</v>
      </c>
      <c r="H97" s="86">
        <f t="shared" si="43"/>
        <v>0</v>
      </c>
      <c r="I97" s="86">
        <f t="shared" si="43"/>
        <v>3000</v>
      </c>
      <c r="J97" s="86">
        <f t="shared" si="43"/>
        <v>0</v>
      </c>
      <c r="K97" s="86">
        <f t="shared" si="43"/>
        <v>0</v>
      </c>
      <c r="L97" s="86">
        <f t="shared" si="43"/>
        <v>3000</v>
      </c>
      <c r="M97" s="86">
        <f t="shared" si="43"/>
        <v>2100</v>
      </c>
      <c r="N97" s="86">
        <f t="shared" si="43"/>
        <v>750</v>
      </c>
      <c r="O97" s="86">
        <f t="shared" si="43"/>
        <v>0</v>
      </c>
      <c r="P97" s="87">
        <f t="shared" si="43"/>
        <v>150</v>
      </c>
    </row>
    <row r="98" spans="1:20" ht="31.5" x14ac:dyDescent="0.25">
      <c r="A98" s="41" t="s">
        <v>26</v>
      </c>
      <c r="B98" s="51" t="s">
        <v>112</v>
      </c>
      <c r="C98" s="52">
        <v>0.65</v>
      </c>
      <c r="D98" s="53" t="s">
        <v>25</v>
      </c>
      <c r="E98" s="53"/>
      <c r="F98" s="55">
        <f>L98</f>
        <v>2200</v>
      </c>
      <c r="G98" s="55"/>
      <c r="H98" s="55"/>
      <c r="I98" s="55">
        <v>2200</v>
      </c>
      <c r="J98" s="55"/>
      <c r="K98" s="55"/>
      <c r="L98" s="55">
        <v>2200</v>
      </c>
      <c r="M98" s="55">
        <f>L98*70%</f>
        <v>1540</v>
      </c>
      <c r="N98" s="55">
        <f>L98*25%</f>
        <v>550</v>
      </c>
      <c r="O98" s="55"/>
      <c r="P98" s="56">
        <f>L98*5%</f>
        <v>110</v>
      </c>
    </row>
    <row r="99" spans="1:20" ht="31.5" x14ac:dyDescent="0.25">
      <c r="A99" s="41" t="s">
        <v>26</v>
      </c>
      <c r="B99" s="51" t="s">
        <v>113</v>
      </c>
      <c r="C99" s="52">
        <v>1.1000000000000001</v>
      </c>
      <c r="D99" s="53" t="s">
        <v>25</v>
      </c>
      <c r="E99" s="53"/>
      <c r="F99" s="55">
        <f>L99</f>
        <v>800</v>
      </c>
      <c r="G99" s="55"/>
      <c r="H99" s="55"/>
      <c r="I99" s="55">
        <v>800</v>
      </c>
      <c r="J99" s="55"/>
      <c r="K99" s="55"/>
      <c r="L99" s="55">
        <v>800</v>
      </c>
      <c r="M99" s="55">
        <f>L99*70%</f>
        <v>560</v>
      </c>
      <c r="N99" s="55">
        <f>L99*25%</f>
        <v>200</v>
      </c>
      <c r="O99" s="55"/>
      <c r="P99" s="56">
        <f>L99*5%</f>
        <v>40</v>
      </c>
    </row>
    <row r="100" spans="1:20" x14ac:dyDescent="0.25">
      <c r="A100" s="26">
        <v>3</v>
      </c>
      <c r="B100" s="27" t="s">
        <v>63</v>
      </c>
      <c r="C100" s="28"/>
      <c r="D100" s="29"/>
      <c r="E100" s="29"/>
      <c r="F100" s="86">
        <f t="shared" ref="F100:N100" si="44">SUM(F101:F101)</f>
        <v>950</v>
      </c>
      <c r="G100" s="86">
        <f t="shared" si="44"/>
        <v>0</v>
      </c>
      <c r="H100" s="86">
        <f t="shared" si="44"/>
        <v>0</v>
      </c>
      <c r="I100" s="86">
        <f t="shared" si="44"/>
        <v>950</v>
      </c>
      <c r="J100" s="86">
        <f t="shared" si="44"/>
        <v>0</v>
      </c>
      <c r="K100" s="86">
        <f t="shared" si="44"/>
        <v>0</v>
      </c>
      <c r="L100" s="86">
        <f t="shared" si="44"/>
        <v>950</v>
      </c>
      <c r="M100" s="86">
        <f t="shared" si="44"/>
        <v>665</v>
      </c>
      <c r="N100" s="86">
        <f t="shared" si="44"/>
        <v>190</v>
      </c>
      <c r="O100" s="86"/>
      <c r="P100" s="87">
        <f>SUM(P101:P101)</f>
        <v>95</v>
      </c>
    </row>
    <row r="101" spans="1:20" ht="47.25" x14ac:dyDescent="0.25">
      <c r="A101" s="41"/>
      <c r="B101" s="51" t="s">
        <v>114</v>
      </c>
      <c r="C101" s="52">
        <v>1</v>
      </c>
      <c r="D101" s="53"/>
      <c r="E101" s="53"/>
      <c r="F101" s="55">
        <v>950</v>
      </c>
      <c r="G101" s="55"/>
      <c r="H101" s="55"/>
      <c r="I101" s="55">
        <v>950</v>
      </c>
      <c r="J101" s="55"/>
      <c r="K101" s="55"/>
      <c r="L101" s="259">
        <v>950</v>
      </c>
      <c r="M101" s="259">
        <f>L101*70%</f>
        <v>665</v>
      </c>
      <c r="N101" s="259">
        <f>L101*20%</f>
        <v>190</v>
      </c>
      <c r="O101" s="259"/>
      <c r="P101" s="260">
        <f>L101*10%</f>
        <v>95</v>
      </c>
    </row>
    <row r="102" spans="1:20" x14ac:dyDescent="0.25">
      <c r="A102" s="41"/>
      <c r="B102" s="51"/>
      <c r="C102" s="52"/>
      <c r="D102" s="53"/>
      <c r="E102" s="53"/>
      <c r="F102" s="30"/>
      <c r="G102" s="45"/>
      <c r="H102" s="45"/>
      <c r="I102" s="45"/>
      <c r="J102" s="45"/>
      <c r="K102" s="45"/>
      <c r="L102" s="45"/>
      <c r="M102" s="45"/>
      <c r="N102" s="45"/>
      <c r="O102" s="45"/>
      <c r="P102" s="48"/>
    </row>
    <row r="103" spans="1:20" s="54" customFormat="1" x14ac:dyDescent="0.25">
      <c r="A103" s="19" t="s">
        <v>115</v>
      </c>
      <c r="B103" s="20" t="s">
        <v>116</v>
      </c>
      <c r="C103" s="21"/>
      <c r="D103" s="22"/>
      <c r="E103" s="22"/>
      <c r="F103" s="23">
        <f t="shared" ref="F103:P103" si="45">F104+F106+F113+F115</f>
        <v>3066.4589999999998</v>
      </c>
      <c r="G103" s="23">
        <f t="shared" si="45"/>
        <v>0</v>
      </c>
      <c r="H103" s="23">
        <f t="shared" si="45"/>
        <v>0</v>
      </c>
      <c r="I103" s="23">
        <f t="shared" si="45"/>
        <v>1270.4590000000001</v>
      </c>
      <c r="J103" s="23">
        <f t="shared" si="45"/>
        <v>1796</v>
      </c>
      <c r="K103" s="23">
        <f t="shared" si="45"/>
        <v>0</v>
      </c>
      <c r="L103" s="23">
        <f t="shared" si="45"/>
        <v>3066.4589999999998</v>
      </c>
      <c r="M103" s="23">
        <f t="shared" si="45"/>
        <v>2146.5212999999999</v>
      </c>
      <c r="N103" s="23">
        <f t="shared" si="45"/>
        <v>634.29180000000008</v>
      </c>
      <c r="O103" s="23">
        <f t="shared" si="45"/>
        <v>224.14590000000001</v>
      </c>
      <c r="P103" s="25">
        <f t="shared" si="45"/>
        <v>61.5</v>
      </c>
      <c r="Q103" s="9"/>
      <c r="R103" s="105"/>
      <c r="S103" s="105"/>
      <c r="T103" s="105"/>
    </row>
    <row r="104" spans="1:20" x14ac:dyDescent="0.25">
      <c r="A104" s="88">
        <v>1</v>
      </c>
      <c r="B104" s="89" t="s">
        <v>28</v>
      </c>
      <c r="C104" s="28"/>
      <c r="D104" s="29"/>
      <c r="E104" s="29"/>
      <c r="F104" s="30">
        <f>F105</f>
        <v>420</v>
      </c>
      <c r="G104" s="30">
        <f>G105</f>
        <v>0</v>
      </c>
      <c r="H104" s="30">
        <f>H105</f>
        <v>0</v>
      </c>
      <c r="I104" s="30">
        <f t="shared" ref="I104:P104" si="46">I105</f>
        <v>420</v>
      </c>
      <c r="J104" s="30">
        <f t="shared" si="46"/>
        <v>0</v>
      </c>
      <c r="K104" s="30">
        <f t="shared" si="46"/>
        <v>0</v>
      </c>
      <c r="L104" s="30">
        <f t="shared" si="46"/>
        <v>420</v>
      </c>
      <c r="M104" s="30">
        <f t="shared" si="46"/>
        <v>294</v>
      </c>
      <c r="N104" s="30">
        <f t="shared" si="46"/>
        <v>105</v>
      </c>
      <c r="O104" s="30">
        <f t="shared" si="46"/>
        <v>21</v>
      </c>
      <c r="P104" s="31">
        <f t="shared" si="46"/>
        <v>0</v>
      </c>
    </row>
    <row r="105" spans="1:20" x14ac:dyDescent="0.25">
      <c r="A105" s="41" t="s">
        <v>117</v>
      </c>
      <c r="B105" s="90" t="s">
        <v>118</v>
      </c>
      <c r="C105" s="52"/>
      <c r="D105" s="53"/>
      <c r="E105" s="53"/>
      <c r="F105" s="45">
        <f t="shared" ref="F105:F112" si="47">G105+H105+I105+J105+K105</f>
        <v>420</v>
      </c>
      <c r="G105" s="45"/>
      <c r="H105" s="45"/>
      <c r="I105" s="45">
        <f>L105</f>
        <v>420</v>
      </c>
      <c r="J105" s="45"/>
      <c r="K105" s="45"/>
      <c r="L105" s="45">
        <v>420</v>
      </c>
      <c r="M105" s="45">
        <f>L105*70%</f>
        <v>294</v>
      </c>
      <c r="N105" s="45">
        <f>L105*25%</f>
        <v>105</v>
      </c>
      <c r="O105" s="45">
        <f>L105*5%</f>
        <v>21</v>
      </c>
      <c r="P105" s="48"/>
    </row>
    <row r="106" spans="1:20" x14ac:dyDescent="0.25">
      <c r="A106" s="88">
        <v>2</v>
      </c>
      <c r="B106" s="89" t="s">
        <v>36</v>
      </c>
      <c r="C106" s="28"/>
      <c r="D106" s="29"/>
      <c r="E106" s="29"/>
      <c r="F106" s="30">
        <f>SUM(F107:F112)</f>
        <v>2105</v>
      </c>
      <c r="G106" s="30">
        <f t="shared" ref="G106:P106" si="48">SUM(G107:G112)</f>
        <v>0</v>
      </c>
      <c r="H106" s="30">
        <f t="shared" si="48"/>
        <v>0</v>
      </c>
      <c r="I106" s="30">
        <f t="shared" si="48"/>
        <v>615</v>
      </c>
      <c r="J106" s="30">
        <f t="shared" si="48"/>
        <v>1490</v>
      </c>
      <c r="K106" s="30">
        <f t="shared" si="48"/>
        <v>0</v>
      </c>
      <c r="L106" s="30">
        <f t="shared" si="48"/>
        <v>2105</v>
      </c>
      <c r="M106" s="30">
        <f t="shared" si="48"/>
        <v>1473.5</v>
      </c>
      <c r="N106" s="30">
        <f t="shared" si="48"/>
        <v>421</v>
      </c>
      <c r="O106" s="30">
        <f t="shared" si="48"/>
        <v>149</v>
      </c>
      <c r="P106" s="31">
        <f t="shared" si="48"/>
        <v>61.5</v>
      </c>
    </row>
    <row r="107" spans="1:20" ht="31.5" x14ac:dyDescent="0.25">
      <c r="A107" s="41" t="s">
        <v>117</v>
      </c>
      <c r="B107" s="90" t="s">
        <v>119</v>
      </c>
      <c r="C107" s="52"/>
      <c r="D107" s="53"/>
      <c r="E107" s="53"/>
      <c r="F107" s="45">
        <f t="shared" si="47"/>
        <v>45</v>
      </c>
      <c r="G107" s="45"/>
      <c r="H107" s="45"/>
      <c r="I107" s="45">
        <v>45</v>
      </c>
      <c r="J107" s="45"/>
      <c r="K107" s="45"/>
      <c r="L107" s="45">
        <v>45</v>
      </c>
      <c r="M107" s="45">
        <f t="shared" ref="M107:M112" si="49">L107*70%</f>
        <v>31.499999999999996</v>
      </c>
      <c r="N107" s="45">
        <f t="shared" ref="N107:N112" si="50">L107*20%</f>
        <v>9</v>
      </c>
      <c r="O107" s="45"/>
      <c r="P107" s="48">
        <f>L107*10%</f>
        <v>4.5</v>
      </c>
    </row>
    <row r="108" spans="1:20" ht="31.5" x14ac:dyDescent="0.25">
      <c r="A108" s="41" t="s">
        <v>117</v>
      </c>
      <c r="B108" s="90" t="s">
        <v>120</v>
      </c>
      <c r="C108" s="52"/>
      <c r="D108" s="53"/>
      <c r="E108" s="53"/>
      <c r="F108" s="45">
        <f t="shared" si="47"/>
        <v>450</v>
      </c>
      <c r="G108" s="45"/>
      <c r="H108" s="45"/>
      <c r="I108" s="45">
        <v>450</v>
      </c>
      <c r="J108" s="45"/>
      <c r="K108" s="45"/>
      <c r="L108" s="45">
        <v>450</v>
      </c>
      <c r="M108" s="45">
        <f t="shared" si="49"/>
        <v>315</v>
      </c>
      <c r="N108" s="45">
        <f t="shared" si="50"/>
        <v>90</v>
      </c>
      <c r="O108" s="45"/>
      <c r="P108" s="48">
        <f>L108*10%</f>
        <v>45</v>
      </c>
    </row>
    <row r="109" spans="1:20" ht="31.5" x14ac:dyDescent="0.25">
      <c r="A109" s="41" t="s">
        <v>117</v>
      </c>
      <c r="B109" s="90" t="s">
        <v>121</v>
      </c>
      <c r="C109" s="52"/>
      <c r="D109" s="53"/>
      <c r="E109" s="53"/>
      <c r="F109" s="45">
        <f t="shared" si="47"/>
        <v>120</v>
      </c>
      <c r="G109" s="45"/>
      <c r="H109" s="45"/>
      <c r="I109" s="45">
        <v>120</v>
      </c>
      <c r="J109" s="45"/>
      <c r="K109" s="45"/>
      <c r="L109" s="45">
        <v>120</v>
      </c>
      <c r="M109" s="45">
        <f t="shared" si="49"/>
        <v>84</v>
      </c>
      <c r="N109" s="45">
        <f t="shared" si="50"/>
        <v>24</v>
      </c>
      <c r="O109" s="45"/>
      <c r="P109" s="48">
        <f>L109*10%</f>
        <v>12</v>
      </c>
    </row>
    <row r="110" spans="1:20" ht="31.5" x14ac:dyDescent="0.25">
      <c r="A110" s="41" t="s">
        <v>117</v>
      </c>
      <c r="B110" s="90" t="s">
        <v>122</v>
      </c>
      <c r="C110" s="52"/>
      <c r="D110" s="53"/>
      <c r="E110" s="53"/>
      <c r="F110" s="45">
        <f t="shared" si="47"/>
        <v>520</v>
      </c>
      <c r="G110" s="45"/>
      <c r="H110" s="45"/>
      <c r="I110" s="45"/>
      <c r="J110" s="45">
        <v>520</v>
      </c>
      <c r="K110" s="45"/>
      <c r="L110" s="45">
        <v>520</v>
      </c>
      <c r="M110" s="45">
        <f t="shared" si="49"/>
        <v>364</v>
      </c>
      <c r="N110" s="45">
        <f t="shared" si="50"/>
        <v>104</v>
      </c>
      <c r="O110" s="45">
        <f>L110*10%</f>
        <v>52</v>
      </c>
      <c r="P110" s="48"/>
    </row>
    <row r="111" spans="1:20" ht="31.5" x14ac:dyDescent="0.25">
      <c r="A111" s="41" t="s">
        <v>26</v>
      </c>
      <c r="B111" s="51" t="s">
        <v>123</v>
      </c>
      <c r="C111" s="52"/>
      <c r="D111" s="53"/>
      <c r="E111" s="53"/>
      <c r="F111" s="45">
        <f>G111+H111+I111+J111+K111</f>
        <v>520</v>
      </c>
      <c r="G111" s="45"/>
      <c r="H111" s="45"/>
      <c r="I111" s="45"/>
      <c r="J111" s="45">
        <v>520</v>
      </c>
      <c r="K111" s="45"/>
      <c r="L111" s="45">
        <v>520</v>
      </c>
      <c r="M111" s="45">
        <f t="shared" si="49"/>
        <v>364</v>
      </c>
      <c r="N111" s="45">
        <f t="shared" si="50"/>
        <v>104</v>
      </c>
      <c r="O111" s="45">
        <f>L111*10%</f>
        <v>52</v>
      </c>
      <c r="P111" s="48"/>
    </row>
    <row r="112" spans="1:20" ht="31.5" x14ac:dyDescent="0.25">
      <c r="A112" s="41" t="s">
        <v>117</v>
      </c>
      <c r="B112" s="91" t="s">
        <v>124</v>
      </c>
      <c r="C112" s="52"/>
      <c r="D112" s="53"/>
      <c r="E112" s="53"/>
      <c r="F112" s="45">
        <f t="shared" si="47"/>
        <v>450</v>
      </c>
      <c r="G112" s="45"/>
      <c r="H112" s="45"/>
      <c r="I112" s="45"/>
      <c r="J112" s="45">
        <v>450</v>
      </c>
      <c r="K112" s="45"/>
      <c r="L112" s="45">
        <v>450</v>
      </c>
      <c r="M112" s="45">
        <f t="shared" si="49"/>
        <v>315</v>
      </c>
      <c r="N112" s="45">
        <f t="shared" si="50"/>
        <v>90</v>
      </c>
      <c r="O112" s="45">
        <f>L112*10%</f>
        <v>45</v>
      </c>
      <c r="P112" s="48"/>
    </row>
    <row r="113" spans="1:16" x14ac:dyDescent="0.25">
      <c r="A113" s="88">
        <v>3</v>
      </c>
      <c r="B113" s="89" t="s">
        <v>65</v>
      </c>
      <c r="C113" s="28"/>
      <c r="D113" s="29"/>
      <c r="E113" s="29"/>
      <c r="F113" s="30">
        <f t="shared" ref="F113:P113" si="51">F114</f>
        <v>235.459</v>
      </c>
      <c r="G113" s="30">
        <f t="shared" si="51"/>
        <v>0</v>
      </c>
      <c r="H113" s="30">
        <f t="shared" si="51"/>
        <v>0</v>
      </c>
      <c r="I113" s="30">
        <f t="shared" si="51"/>
        <v>235.459</v>
      </c>
      <c r="J113" s="30">
        <f t="shared" si="51"/>
        <v>0</v>
      </c>
      <c r="K113" s="30">
        <f t="shared" si="51"/>
        <v>0</v>
      </c>
      <c r="L113" s="30">
        <f t="shared" si="51"/>
        <v>235.459</v>
      </c>
      <c r="M113" s="30">
        <f t="shared" si="51"/>
        <v>164.82129999999998</v>
      </c>
      <c r="N113" s="30">
        <f t="shared" si="51"/>
        <v>47.091800000000006</v>
      </c>
      <c r="O113" s="30">
        <f t="shared" si="51"/>
        <v>23.545900000000003</v>
      </c>
      <c r="P113" s="31">
        <f t="shared" si="51"/>
        <v>0</v>
      </c>
    </row>
    <row r="114" spans="1:16" ht="31.5" x14ac:dyDescent="0.25">
      <c r="A114" s="41" t="s">
        <v>117</v>
      </c>
      <c r="B114" s="90" t="s">
        <v>125</v>
      </c>
      <c r="C114" s="52"/>
      <c r="D114" s="53"/>
      <c r="E114" s="53"/>
      <c r="F114" s="45">
        <f>G114+H114+I114+J114+K114</f>
        <v>235.459</v>
      </c>
      <c r="G114" s="45"/>
      <c r="H114" s="45"/>
      <c r="I114" s="45">
        <v>235.459</v>
      </c>
      <c r="J114" s="45"/>
      <c r="K114" s="45"/>
      <c r="L114" s="45">
        <v>235.459</v>
      </c>
      <c r="M114" s="45">
        <f>L114*70%</f>
        <v>164.82129999999998</v>
      </c>
      <c r="N114" s="45">
        <f>L114*20%</f>
        <v>47.091800000000006</v>
      </c>
      <c r="O114" s="45">
        <f>L114*10%</f>
        <v>23.545900000000003</v>
      </c>
      <c r="P114" s="48"/>
    </row>
    <row r="115" spans="1:16" x14ac:dyDescent="0.25">
      <c r="A115" s="88">
        <v>4</v>
      </c>
      <c r="B115" s="89" t="s">
        <v>63</v>
      </c>
      <c r="C115" s="28"/>
      <c r="D115" s="29"/>
      <c r="E115" s="29"/>
      <c r="F115" s="30">
        <f t="shared" ref="F115:P115" si="52">F116</f>
        <v>306</v>
      </c>
      <c r="G115" s="30">
        <f t="shared" si="52"/>
        <v>0</v>
      </c>
      <c r="H115" s="30">
        <f t="shared" si="52"/>
        <v>0</v>
      </c>
      <c r="I115" s="30">
        <f t="shared" si="52"/>
        <v>0</v>
      </c>
      <c r="J115" s="30">
        <f t="shared" si="52"/>
        <v>306</v>
      </c>
      <c r="K115" s="30">
        <f t="shared" si="52"/>
        <v>0</v>
      </c>
      <c r="L115" s="30">
        <f t="shared" si="52"/>
        <v>306</v>
      </c>
      <c r="M115" s="30">
        <f t="shared" si="52"/>
        <v>214.2</v>
      </c>
      <c r="N115" s="30">
        <f t="shared" si="52"/>
        <v>61.2</v>
      </c>
      <c r="O115" s="30">
        <f t="shared" si="52"/>
        <v>30.6</v>
      </c>
      <c r="P115" s="31">
        <f t="shared" si="52"/>
        <v>0</v>
      </c>
    </row>
    <row r="116" spans="1:16" ht="31.5" x14ac:dyDescent="0.25">
      <c r="A116" s="41" t="s">
        <v>117</v>
      </c>
      <c r="B116" s="90" t="s">
        <v>126</v>
      </c>
      <c r="C116" s="52"/>
      <c r="D116" s="53"/>
      <c r="E116" s="53"/>
      <c r="F116" s="45">
        <f>G116+H116+I116+J116+K116</f>
        <v>306</v>
      </c>
      <c r="G116" s="45"/>
      <c r="H116" s="45"/>
      <c r="I116" s="45"/>
      <c r="J116" s="45">
        <f>L116</f>
        <v>306</v>
      </c>
      <c r="K116" s="45"/>
      <c r="L116" s="45">
        <v>306</v>
      </c>
      <c r="M116" s="45">
        <f>L116*70%</f>
        <v>214.2</v>
      </c>
      <c r="N116" s="45">
        <f>L116*20%</f>
        <v>61.2</v>
      </c>
      <c r="O116" s="45">
        <f>L116*10%</f>
        <v>30.6</v>
      </c>
      <c r="P116" s="48"/>
    </row>
    <row r="117" spans="1:16" x14ac:dyDescent="0.25">
      <c r="A117" s="61"/>
      <c r="B117" s="62"/>
      <c r="C117" s="63"/>
      <c r="D117" s="62"/>
      <c r="E117" s="80"/>
      <c r="F117" s="60"/>
      <c r="G117" s="46"/>
      <c r="H117" s="46"/>
      <c r="I117" s="60"/>
      <c r="J117" s="60"/>
      <c r="K117" s="60"/>
      <c r="L117" s="60"/>
      <c r="M117" s="60"/>
      <c r="N117" s="60"/>
      <c r="O117" s="60"/>
      <c r="P117" s="64"/>
    </row>
    <row r="118" spans="1:16" x14ac:dyDescent="0.25">
      <c r="A118" s="19" t="s">
        <v>127</v>
      </c>
      <c r="B118" s="20" t="s">
        <v>128</v>
      </c>
      <c r="C118" s="21"/>
      <c r="D118" s="22"/>
      <c r="E118" s="22"/>
      <c r="F118" s="23">
        <f t="shared" ref="F118:P118" si="53">F119+F130</f>
        <v>3065.7869999999998</v>
      </c>
      <c r="G118" s="23">
        <f t="shared" si="53"/>
        <v>0</v>
      </c>
      <c r="H118" s="23">
        <f t="shared" si="53"/>
        <v>0</v>
      </c>
      <c r="I118" s="23">
        <f t="shared" si="53"/>
        <v>1578.56</v>
      </c>
      <c r="J118" s="23">
        <f t="shared" si="53"/>
        <v>1001.5909999999999</v>
      </c>
      <c r="K118" s="23">
        <f t="shared" si="53"/>
        <v>485.63599999999997</v>
      </c>
      <c r="L118" s="23">
        <f t="shared" si="53"/>
        <v>3065.7869999999998</v>
      </c>
      <c r="M118" s="23">
        <f t="shared" si="53"/>
        <v>2146.0509000000002</v>
      </c>
      <c r="N118" s="23">
        <f t="shared" si="53"/>
        <v>613.15740000000005</v>
      </c>
      <c r="O118" s="23">
        <f t="shared" si="53"/>
        <v>0</v>
      </c>
      <c r="P118" s="25">
        <f t="shared" si="53"/>
        <v>306.57870000000003</v>
      </c>
    </row>
    <row r="119" spans="1:16" x14ac:dyDescent="0.25">
      <c r="A119" s="26">
        <v>1</v>
      </c>
      <c r="B119" s="27" t="s">
        <v>22</v>
      </c>
      <c r="C119" s="28"/>
      <c r="D119" s="29"/>
      <c r="E119" s="29"/>
      <c r="F119" s="30">
        <f>F120</f>
        <v>2122.2359999999999</v>
      </c>
      <c r="G119" s="30">
        <f t="shared" ref="G119:P119" si="54">G120</f>
        <v>0</v>
      </c>
      <c r="H119" s="30">
        <f t="shared" si="54"/>
        <v>0</v>
      </c>
      <c r="I119" s="30">
        <f t="shared" si="54"/>
        <v>948.56000000000006</v>
      </c>
      <c r="J119" s="30">
        <f t="shared" si="54"/>
        <v>688.04</v>
      </c>
      <c r="K119" s="30">
        <f t="shared" si="54"/>
        <v>485.63599999999997</v>
      </c>
      <c r="L119" s="30">
        <f t="shared" si="54"/>
        <v>2122.2359999999999</v>
      </c>
      <c r="M119" s="30">
        <f t="shared" si="54"/>
        <v>1485.5652</v>
      </c>
      <c r="N119" s="30">
        <f t="shared" si="54"/>
        <v>424.44720000000001</v>
      </c>
      <c r="O119" s="30">
        <f t="shared" si="54"/>
        <v>0</v>
      </c>
      <c r="P119" s="31">
        <f t="shared" si="54"/>
        <v>212.2236</v>
      </c>
    </row>
    <row r="120" spans="1:16" x14ac:dyDescent="0.25">
      <c r="A120" s="41"/>
      <c r="B120" s="33" t="s">
        <v>129</v>
      </c>
      <c r="C120" s="28">
        <f>SUM(C121:C129)</f>
        <v>3.177</v>
      </c>
      <c r="D120" s="53" t="s">
        <v>25</v>
      </c>
      <c r="E120" s="53"/>
      <c r="F120" s="30">
        <f>SUM(F121:F129)</f>
        <v>2122.2359999999999</v>
      </c>
      <c r="G120" s="30">
        <f t="shared" ref="G120:P120" si="55">SUM(G121:G129)</f>
        <v>0</v>
      </c>
      <c r="H120" s="30">
        <f t="shared" si="55"/>
        <v>0</v>
      </c>
      <c r="I120" s="30">
        <f t="shared" si="55"/>
        <v>948.56000000000006</v>
      </c>
      <c r="J120" s="30">
        <f t="shared" si="55"/>
        <v>688.04</v>
      </c>
      <c r="K120" s="30">
        <f t="shared" si="55"/>
        <v>485.63599999999997</v>
      </c>
      <c r="L120" s="30">
        <f t="shared" si="55"/>
        <v>2122.2359999999999</v>
      </c>
      <c r="M120" s="30">
        <f t="shared" si="55"/>
        <v>1485.5652</v>
      </c>
      <c r="N120" s="30">
        <f t="shared" si="55"/>
        <v>424.44720000000001</v>
      </c>
      <c r="O120" s="30">
        <f t="shared" si="55"/>
        <v>0</v>
      </c>
      <c r="P120" s="31">
        <f t="shared" si="55"/>
        <v>212.2236</v>
      </c>
    </row>
    <row r="121" spans="1:16" ht="31.5" x14ac:dyDescent="0.25">
      <c r="A121" s="41" t="s">
        <v>26</v>
      </c>
      <c r="B121" s="51" t="s">
        <v>130</v>
      </c>
      <c r="C121" s="52">
        <v>0.3</v>
      </c>
      <c r="D121" s="53"/>
      <c r="E121" s="53" t="s">
        <v>56</v>
      </c>
      <c r="F121" s="45">
        <v>200.4</v>
      </c>
      <c r="G121" s="45"/>
      <c r="H121" s="45"/>
      <c r="I121" s="45">
        <v>200.4</v>
      </c>
      <c r="J121" s="45"/>
      <c r="K121" s="45"/>
      <c r="L121" s="45">
        <v>200.4</v>
      </c>
      <c r="M121" s="45">
        <f t="shared" ref="M121:M129" si="56">L121*70%</f>
        <v>140.28</v>
      </c>
      <c r="N121" s="45">
        <f t="shared" ref="N121:N129" si="57">L121*20%</f>
        <v>40.080000000000005</v>
      </c>
      <c r="O121" s="45"/>
      <c r="P121" s="48">
        <f t="shared" ref="P121:P129" si="58">L121*10%</f>
        <v>20.040000000000003</v>
      </c>
    </row>
    <row r="122" spans="1:16" ht="31.5" x14ac:dyDescent="0.25">
      <c r="A122" s="41" t="s">
        <v>26</v>
      </c>
      <c r="B122" s="51" t="s">
        <v>131</v>
      </c>
      <c r="C122" s="52">
        <v>0.56000000000000005</v>
      </c>
      <c r="D122" s="53"/>
      <c r="E122" s="53" t="s">
        <v>56</v>
      </c>
      <c r="F122" s="45">
        <v>374.08000000000004</v>
      </c>
      <c r="G122" s="45"/>
      <c r="H122" s="45"/>
      <c r="I122" s="45">
        <f>L122</f>
        <v>374.08000000000004</v>
      </c>
      <c r="J122" s="45"/>
      <c r="K122" s="45"/>
      <c r="L122" s="45">
        <v>374.08000000000004</v>
      </c>
      <c r="M122" s="45">
        <f t="shared" si="56"/>
        <v>261.85599999999999</v>
      </c>
      <c r="N122" s="45">
        <f t="shared" si="57"/>
        <v>74.816000000000017</v>
      </c>
      <c r="O122" s="45"/>
      <c r="P122" s="48">
        <f t="shared" si="58"/>
        <v>37.408000000000008</v>
      </c>
    </row>
    <row r="123" spans="1:16" ht="31.5" x14ac:dyDescent="0.25">
      <c r="A123" s="41" t="s">
        <v>26</v>
      </c>
      <c r="B123" s="51" t="s">
        <v>132</v>
      </c>
      <c r="C123" s="52">
        <v>0.56000000000000005</v>
      </c>
      <c r="D123" s="53"/>
      <c r="E123" s="53" t="s">
        <v>56</v>
      </c>
      <c r="F123" s="45">
        <v>374.08000000000004</v>
      </c>
      <c r="G123" s="45"/>
      <c r="H123" s="45"/>
      <c r="I123" s="45">
        <v>374.08000000000004</v>
      </c>
      <c r="J123" s="45"/>
      <c r="K123" s="45"/>
      <c r="L123" s="45">
        <v>374.08000000000004</v>
      </c>
      <c r="M123" s="45">
        <f t="shared" si="56"/>
        <v>261.85599999999999</v>
      </c>
      <c r="N123" s="45">
        <f t="shared" si="57"/>
        <v>74.816000000000017</v>
      </c>
      <c r="O123" s="45"/>
      <c r="P123" s="48">
        <f t="shared" si="58"/>
        <v>37.408000000000008</v>
      </c>
    </row>
    <row r="124" spans="1:16" ht="47.25" x14ac:dyDescent="0.25">
      <c r="A124" s="41" t="s">
        <v>26</v>
      </c>
      <c r="B124" s="51" t="s">
        <v>133</v>
      </c>
      <c r="C124" s="52">
        <v>0.43</v>
      </c>
      <c r="D124" s="53"/>
      <c r="E124" s="53" t="s">
        <v>56</v>
      </c>
      <c r="F124" s="45">
        <v>287.23999999999995</v>
      </c>
      <c r="G124" s="45"/>
      <c r="H124" s="45"/>
      <c r="I124" s="45"/>
      <c r="J124" s="45">
        <v>287.23999999999995</v>
      </c>
      <c r="K124" s="45"/>
      <c r="L124" s="45">
        <v>287.23999999999995</v>
      </c>
      <c r="M124" s="45">
        <f t="shared" si="56"/>
        <v>201.06799999999996</v>
      </c>
      <c r="N124" s="45">
        <f t="shared" si="57"/>
        <v>57.447999999999993</v>
      </c>
      <c r="O124" s="45"/>
      <c r="P124" s="48">
        <f t="shared" si="58"/>
        <v>28.723999999999997</v>
      </c>
    </row>
    <row r="125" spans="1:16" ht="47.25" x14ac:dyDescent="0.25">
      <c r="A125" s="41" t="s">
        <v>26</v>
      </c>
      <c r="B125" s="51" t="s">
        <v>134</v>
      </c>
      <c r="C125" s="52">
        <v>0.6</v>
      </c>
      <c r="D125" s="53"/>
      <c r="E125" s="53" t="s">
        <v>56</v>
      </c>
      <c r="F125" s="45">
        <v>400.8</v>
      </c>
      <c r="G125" s="45"/>
      <c r="H125" s="45"/>
      <c r="I125" s="45"/>
      <c r="J125" s="45">
        <v>400.8</v>
      </c>
      <c r="K125" s="45"/>
      <c r="L125" s="45">
        <v>400.8</v>
      </c>
      <c r="M125" s="45">
        <f t="shared" si="56"/>
        <v>280.56</v>
      </c>
      <c r="N125" s="45">
        <f t="shared" si="57"/>
        <v>80.160000000000011</v>
      </c>
      <c r="O125" s="45"/>
      <c r="P125" s="48">
        <f t="shared" si="58"/>
        <v>40.080000000000005</v>
      </c>
    </row>
    <row r="126" spans="1:16" ht="31.5" x14ac:dyDescent="0.25">
      <c r="A126" s="41" t="s">
        <v>26</v>
      </c>
      <c r="B126" s="51" t="s">
        <v>135</v>
      </c>
      <c r="C126" s="52">
        <v>0.15</v>
      </c>
      <c r="D126" s="53"/>
      <c r="E126" s="53" t="s">
        <v>56</v>
      </c>
      <c r="F126" s="45">
        <v>100.2</v>
      </c>
      <c r="G126" s="45"/>
      <c r="H126" s="45"/>
      <c r="I126" s="45"/>
      <c r="J126" s="45"/>
      <c r="K126" s="45">
        <f>L126</f>
        <v>100.2</v>
      </c>
      <c r="L126" s="45">
        <v>100.2</v>
      </c>
      <c r="M126" s="45">
        <f t="shared" si="56"/>
        <v>70.14</v>
      </c>
      <c r="N126" s="45">
        <f t="shared" si="57"/>
        <v>20.040000000000003</v>
      </c>
      <c r="O126" s="45"/>
      <c r="P126" s="48">
        <f t="shared" si="58"/>
        <v>10.020000000000001</v>
      </c>
    </row>
    <row r="127" spans="1:16" ht="31.5" x14ac:dyDescent="0.25">
      <c r="A127" s="41" t="s">
        <v>26</v>
      </c>
      <c r="B127" s="51" t="s">
        <v>136</v>
      </c>
      <c r="C127" s="52">
        <v>0.2</v>
      </c>
      <c r="D127" s="53"/>
      <c r="E127" s="53" t="s">
        <v>56</v>
      </c>
      <c r="F127" s="45">
        <v>133.6</v>
      </c>
      <c r="G127" s="45"/>
      <c r="H127" s="45"/>
      <c r="I127" s="45"/>
      <c r="J127" s="45"/>
      <c r="K127" s="45">
        <f>L127</f>
        <v>133.6</v>
      </c>
      <c r="L127" s="45">
        <v>133.6</v>
      </c>
      <c r="M127" s="45">
        <f t="shared" si="56"/>
        <v>93.52</v>
      </c>
      <c r="N127" s="45">
        <f t="shared" si="57"/>
        <v>26.72</v>
      </c>
      <c r="O127" s="45"/>
      <c r="P127" s="48">
        <f t="shared" si="58"/>
        <v>13.36</v>
      </c>
    </row>
    <row r="128" spans="1:16" ht="31.5" x14ac:dyDescent="0.25">
      <c r="A128" s="41" t="s">
        <v>26</v>
      </c>
      <c r="B128" s="51" t="s">
        <v>137</v>
      </c>
      <c r="C128" s="52">
        <v>0.307</v>
      </c>
      <c r="D128" s="53"/>
      <c r="E128" s="53" t="s">
        <v>56</v>
      </c>
      <c r="F128" s="45">
        <v>205.07599999999996</v>
      </c>
      <c r="G128" s="45"/>
      <c r="H128" s="45"/>
      <c r="I128" s="45"/>
      <c r="J128" s="45"/>
      <c r="K128" s="45">
        <f>L128</f>
        <v>205.07599999999996</v>
      </c>
      <c r="L128" s="45">
        <v>205.07599999999996</v>
      </c>
      <c r="M128" s="45">
        <f t="shared" si="56"/>
        <v>143.55319999999998</v>
      </c>
      <c r="N128" s="45">
        <f t="shared" si="57"/>
        <v>41.015199999999993</v>
      </c>
      <c r="O128" s="45"/>
      <c r="P128" s="48">
        <f t="shared" si="58"/>
        <v>20.507599999999996</v>
      </c>
    </row>
    <row r="129" spans="1:20" ht="31.5" x14ac:dyDescent="0.25">
      <c r="A129" s="41" t="s">
        <v>26</v>
      </c>
      <c r="B129" s="51" t="s">
        <v>138</v>
      </c>
      <c r="C129" s="52">
        <v>7.0000000000000007E-2</v>
      </c>
      <c r="D129" s="53"/>
      <c r="E129" s="53" t="s">
        <v>56</v>
      </c>
      <c r="F129" s="45">
        <v>46.760000000000005</v>
      </c>
      <c r="G129" s="45"/>
      <c r="H129" s="45"/>
      <c r="I129" s="45"/>
      <c r="J129" s="45"/>
      <c r="K129" s="45">
        <f>L129</f>
        <v>46.760000000000005</v>
      </c>
      <c r="L129" s="45">
        <v>46.760000000000005</v>
      </c>
      <c r="M129" s="45">
        <f t="shared" si="56"/>
        <v>32.731999999999999</v>
      </c>
      <c r="N129" s="45">
        <f t="shared" si="57"/>
        <v>9.3520000000000021</v>
      </c>
      <c r="O129" s="45"/>
      <c r="P129" s="48">
        <f t="shared" si="58"/>
        <v>4.676000000000001</v>
      </c>
    </row>
    <row r="130" spans="1:20" x14ac:dyDescent="0.25">
      <c r="A130" s="26">
        <v>2</v>
      </c>
      <c r="B130" s="27" t="s">
        <v>139</v>
      </c>
      <c r="C130" s="28"/>
      <c r="D130" s="29"/>
      <c r="E130" s="29"/>
      <c r="F130" s="30">
        <f>SUM(F131:F133)</f>
        <v>943.55099999999993</v>
      </c>
      <c r="G130" s="30">
        <f>SUM(G131:G133)</f>
        <v>0</v>
      </c>
      <c r="H130" s="30">
        <f>SUM(H131:H133)</f>
        <v>0</v>
      </c>
      <c r="I130" s="30">
        <f>SUM(I131:I133)</f>
        <v>630</v>
      </c>
      <c r="J130" s="30">
        <f t="shared" ref="J130:P130" si="59">SUM(J131:J133)</f>
        <v>313.55099999999999</v>
      </c>
      <c r="K130" s="30">
        <f t="shared" si="59"/>
        <v>0</v>
      </c>
      <c r="L130" s="30">
        <f t="shared" si="59"/>
        <v>943.55099999999993</v>
      </c>
      <c r="M130" s="30">
        <f t="shared" si="59"/>
        <v>660.48569999999995</v>
      </c>
      <c r="N130" s="30">
        <f t="shared" si="59"/>
        <v>188.71019999999999</v>
      </c>
      <c r="O130" s="30">
        <f t="shared" si="59"/>
        <v>0</v>
      </c>
      <c r="P130" s="31">
        <f t="shared" si="59"/>
        <v>94.355099999999993</v>
      </c>
    </row>
    <row r="131" spans="1:20" ht="31.5" x14ac:dyDescent="0.25">
      <c r="A131" s="41" t="s">
        <v>26</v>
      </c>
      <c r="B131" s="51" t="s">
        <v>140</v>
      </c>
      <c r="C131" s="52">
        <v>1</v>
      </c>
      <c r="D131" s="53" t="s">
        <v>39</v>
      </c>
      <c r="E131" s="53"/>
      <c r="F131" s="45">
        <v>315</v>
      </c>
      <c r="G131" s="45"/>
      <c r="H131" s="45"/>
      <c r="I131" s="45">
        <v>315</v>
      </c>
      <c r="J131" s="45"/>
      <c r="K131" s="45"/>
      <c r="L131" s="45">
        <v>315</v>
      </c>
      <c r="M131" s="45">
        <f>L131*70%</f>
        <v>220.5</v>
      </c>
      <c r="N131" s="45">
        <f>L131*20%</f>
        <v>63</v>
      </c>
      <c r="O131" s="45"/>
      <c r="P131" s="48">
        <f>L131*10%</f>
        <v>31.5</v>
      </c>
    </row>
    <row r="132" spans="1:20" ht="31.5" x14ac:dyDescent="0.25">
      <c r="A132" s="41" t="s">
        <v>26</v>
      </c>
      <c r="B132" s="51" t="s">
        <v>141</v>
      </c>
      <c r="C132" s="52">
        <v>1</v>
      </c>
      <c r="D132" s="53" t="s">
        <v>39</v>
      </c>
      <c r="E132" s="53"/>
      <c r="F132" s="45">
        <v>315</v>
      </c>
      <c r="G132" s="45"/>
      <c r="H132" s="45"/>
      <c r="I132" s="45">
        <v>315</v>
      </c>
      <c r="J132" s="45"/>
      <c r="K132" s="45"/>
      <c r="L132" s="45">
        <v>315</v>
      </c>
      <c r="M132" s="45">
        <f>L132*70%</f>
        <v>220.5</v>
      </c>
      <c r="N132" s="45">
        <f>L132*20%</f>
        <v>63</v>
      </c>
      <c r="O132" s="45"/>
      <c r="P132" s="48">
        <f>L132*10%</f>
        <v>31.5</v>
      </c>
    </row>
    <row r="133" spans="1:20" ht="31.5" x14ac:dyDescent="0.25">
      <c r="A133" s="41" t="s">
        <v>26</v>
      </c>
      <c r="B133" s="51" t="s">
        <v>142</v>
      </c>
      <c r="C133" s="52">
        <v>1</v>
      </c>
      <c r="D133" s="53" t="s">
        <v>39</v>
      </c>
      <c r="E133" s="53"/>
      <c r="F133" s="45">
        <v>313.55099999999999</v>
      </c>
      <c r="G133" s="45"/>
      <c r="H133" s="45"/>
      <c r="I133" s="45"/>
      <c r="J133" s="45">
        <v>313.55099999999999</v>
      </c>
      <c r="K133" s="45"/>
      <c r="L133" s="45">
        <f>J133</f>
        <v>313.55099999999999</v>
      </c>
      <c r="M133" s="45">
        <f>L133*70%</f>
        <v>219.48569999999998</v>
      </c>
      <c r="N133" s="45">
        <f>L133*20%</f>
        <v>62.7102</v>
      </c>
      <c r="O133" s="45"/>
      <c r="P133" s="48">
        <f>L133*10%</f>
        <v>31.3551</v>
      </c>
    </row>
    <row r="134" spans="1:20" x14ac:dyDescent="0.25">
      <c r="A134" s="355"/>
      <c r="B134" s="351"/>
      <c r="C134" s="28"/>
      <c r="D134" s="29"/>
      <c r="E134" s="29"/>
      <c r="F134" s="30"/>
      <c r="G134" s="30"/>
      <c r="H134" s="30"/>
      <c r="I134" s="30"/>
      <c r="J134" s="30"/>
      <c r="K134" s="30"/>
      <c r="L134" s="30"/>
      <c r="M134" s="30"/>
      <c r="N134" s="30"/>
      <c r="O134" s="30"/>
      <c r="P134" s="31"/>
    </row>
    <row r="135" spans="1:20" x14ac:dyDescent="0.25">
      <c r="A135" s="19" t="s">
        <v>143</v>
      </c>
      <c r="B135" s="20" t="s">
        <v>144</v>
      </c>
      <c r="C135" s="21"/>
      <c r="D135" s="22"/>
      <c r="E135" s="22"/>
      <c r="F135" s="23">
        <f>F136+F143+F147+F150</f>
        <v>5320.85</v>
      </c>
      <c r="G135" s="23" t="e">
        <f>G136+G143+#REF!+G147+G150</f>
        <v>#REF!</v>
      </c>
      <c r="H135" s="23" t="e">
        <f>H136+H143+#REF!+H147+H150</f>
        <v>#REF!</v>
      </c>
      <c r="I135" s="23">
        <f t="shared" ref="I135:P135" si="60">I136+I143+I147+I150</f>
        <v>2869.7449999999999</v>
      </c>
      <c r="J135" s="23">
        <f t="shared" si="60"/>
        <v>2451.105</v>
      </c>
      <c r="K135" s="23">
        <f t="shared" si="60"/>
        <v>0</v>
      </c>
      <c r="L135" s="23">
        <f t="shared" si="60"/>
        <v>5320.85</v>
      </c>
      <c r="M135" s="23">
        <f t="shared" si="60"/>
        <v>2989.2635</v>
      </c>
      <c r="N135" s="23">
        <f t="shared" si="60"/>
        <v>2155.5992499999998</v>
      </c>
      <c r="O135" s="23">
        <f t="shared" si="60"/>
        <v>175.98725000000002</v>
      </c>
      <c r="P135" s="25">
        <f t="shared" si="60"/>
        <v>0</v>
      </c>
      <c r="R135" s="154">
        <f>Q135-402</f>
        <v>-402</v>
      </c>
    </row>
    <row r="136" spans="1:20" x14ac:dyDescent="0.25">
      <c r="A136" s="26">
        <v>1</v>
      </c>
      <c r="B136" s="27" t="s">
        <v>22</v>
      </c>
      <c r="C136" s="28"/>
      <c r="D136" s="29"/>
      <c r="E136" s="29"/>
      <c r="F136" s="30">
        <f>F137+F142</f>
        <v>2451.105</v>
      </c>
      <c r="G136" s="30">
        <f>G137</f>
        <v>0</v>
      </c>
      <c r="H136" s="30">
        <f>H137</f>
        <v>0</v>
      </c>
      <c r="I136" s="30">
        <f>I137+I142</f>
        <v>0</v>
      </c>
      <c r="J136" s="30">
        <f>J137+J142</f>
        <v>2451.105</v>
      </c>
      <c r="K136" s="30">
        <f>K137</f>
        <v>0</v>
      </c>
      <c r="L136" s="30">
        <f>L137+L142</f>
        <v>2451.105</v>
      </c>
      <c r="M136" s="30">
        <f>M137+M142</f>
        <v>980.44200000000012</v>
      </c>
      <c r="N136" s="30">
        <f>N137+N142</f>
        <v>1470.6629999999998</v>
      </c>
      <c r="O136" s="30">
        <f>O137+O142</f>
        <v>0</v>
      </c>
      <c r="P136" s="31">
        <f>P137+P142</f>
        <v>0</v>
      </c>
    </row>
    <row r="137" spans="1:20" x14ac:dyDescent="0.25">
      <c r="A137" s="32" t="s">
        <v>26</v>
      </c>
      <c r="B137" s="33" t="s">
        <v>145</v>
      </c>
      <c r="C137" s="34"/>
      <c r="D137" s="35" t="s">
        <v>25</v>
      </c>
      <c r="E137" s="35"/>
      <c r="F137" s="36">
        <f t="shared" ref="F137" si="61">G137+H137+I137+J137+K137</f>
        <v>2451.105</v>
      </c>
      <c r="G137" s="36">
        <f t="shared" ref="G137:P137" si="62">SUM(G138:G141)</f>
        <v>0</v>
      </c>
      <c r="H137" s="36">
        <f t="shared" si="62"/>
        <v>0</v>
      </c>
      <c r="I137" s="36">
        <f t="shared" si="62"/>
        <v>0</v>
      </c>
      <c r="J137" s="36">
        <f t="shared" si="62"/>
        <v>2451.105</v>
      </c>
      <c r="K137" s="36">
        <f t="shared" si="62"/>
        <v>0</v>
      </c>
      <c r="L137" s="36">
        <f t="shared" si="62"/>
        <v>2451.105</v>
      </c>
      <c r="M137" s="36">
        <f t="shared" si="62"/>
        <v>980.44200000000012</v>
      </c>
      <c r="N137" s="36">
        <f t="shared" si="62"/>
        <v>1470.6629999999998</v>
      </c>
      <c r="O137" s="36">
        <f t="shared" si="62"/>
        <v>0</v>
      </c>
      <c r="P137" s="38">
        <f t="shared" si="62"/>
        <v>0</v>
      </c>
    </row>
    <row r="138" spans="1:20" s="120" customFormat="1" ht="47.25" x14ac:dyDescent="0.25">
      <c r="A138" s="115" t="s">
        <v>146</v>
      </c>
      <c r="B138" s="249" t="s">
        <v>147</v>
      </c>
      <c r="C138" s="250">
        <v>0.26</v>
      </c>
      <c r="D138" s="117" t="s">
        <v>25</v>
      </c>
      <c r="E138" s="238" t="s">
        <v>468</v>
      </c>
      <c r="F138" s="118">
        <v>919.029</v>
      </c>
      <c r="G138" s="118"/>
      <c r="H138" s="118"/>
      <c r="I138" s="118"/>
      <c r="J138" s="118">
        <v>919.029</v>
      </c>
      <c r="K138" s="118"/>
      <c r="L138" s="240">
        <v>919.029</v>
      </c>
      <c r="M138" s="118">
        <f>L138*40%</f>
        <v>367.61160000000001</v>
      </c>
      <c r="N138" s="118">
        <f>L138*60%</f>
        <v>551.41739999999993</v>
      </c>
      <c r="O138" s="118"/>
      <c r="P138" s="119"/>
      <c r="Q138" s="103"/>
      <c r="R138" s="241"/>
      <c r="S138" s="241"/>
      <c r="T138" s="241"/>
    </row>
    <row r="139" spans="1:20" s="120" customFormat="1" ht="47.25" x14ac:dyDescent="0.25">
      <c r="A139" s="115" t="s">
        <v>146</v>
      </c>
      <c r="B139" s="249" t="s">
        <v>148</v>
      </c>
      <c r="C139" s="250">
        <v>6.5000000000000002E-2</v>
      </c>
      <c r="D139" s="117" t="s">
        <v>25</v>
      </c>
      <c r="E139" s="238" t="s">
        <v>468</v>
      </c>
      <c r="F139" s="118">
        <v>142.958</v>
      </c>
      <c r="G139" s="118"/>
      <c r="H139" s="118"/>
      <c r="I139" s="118"/>
      <c r="J139" s="118">
        <v>142.958</v>
      </c>
      <c r="K139" s="118"/>
      <c r="L139" s="118">
        <v>142.958</v>
      </c>
      <c r="M139" s="118">
        <f>L139*40%</f>
        <v>57.183199999999999</v>
      </c>
      <c r="N139" s="118">
        <f>L139*60%</f>
        <v>85.774799999999999</v>
      </c>
      <c r="O139" s="118"/>
      <c r="P139" s="119"/>
      <c r="Q139" s="103"/>
      <c r="R139" s="241"/>
      <c r="S139" s="241"/>
      <c r="T139" s="241"/>
    </row>
    <row r="140" spans="1:20" ht="31.5" x14ac:dyDescent="0.25">
      <c r="A140" s="41" t="s">
        <v>149</v>
      </c>
      <c r="B140" s="51" t="s">
        <v>466</v>
      </c>
      <c r="C140" s="52">
        <v>0.5</v>
      </c>
      <c r="D140" s="53" t="s">
        <v>25</v>
      </c>
      <c r="E140" s="53" t="s">
        <v>467</v>
      </c>
      <c r="F140" s="45">
        <v>997</v>
      </c>
      <c r="G140" s="45"/>
      <c r="H140" s="45"/>
      <c r="I140" s="45"/>
      <c r="J140" s="45">
        <v>997</v>
      </c>
      <c r="K140" s="45"/>
      <c r="L140" s="45">
        <v>997</v>
      </c>
      <c r="M140" s="45">
        <f>L140*40%</f>
        <v>398.8</v>
      </c>
      <c r="N140" s="45">
        <f>L140*60%</f>
        <v>598.19999999999993</v>
      </c>
      <c r="O140" s="45"/>
      <c r="P140" s="48"/>
    </row>
    <row r="141" spans="1:20" s="120" customFormat="1" ht="47.25" x14ac:dyDescent="0.25">
      <c r="A141" s="115" t="s">
        <v>146</v>
      </c>
      <c r="B141" s="249" t="s">
        <v>151</v>
      </c>
      <c r="C141" s="250">
        <v>0.15</v>
      </c>
      <c r="D141" s="117" t="s">
        <v>25</v>
      </c>
      <c r="E141" s="238" t="s">
        <v>468</v>
      </c>
      <c r="F141" s="118">
        <v>392.11799999999999</v>
      </c>
      <c r="G141" s="118"/>
      <c r="H141" s="118"/>
      <c r="I141" s="118"/>
      <c r="J141" s="118">
        <v>392.11799999999999</v>
      </c>
      <c r="K141" s="118"/>
      <c r="L141" s="118">
        <v>392.11799999999999</v>
      </c>
      <c r="M141" s="118">
        <f>L141*40%</f>
        <v>156.84720000000002</v>
      </c>
      <c r="N141" s="118">
        <f>L141*60%</f>
        <v>235.27079999999998</v>
      </c>
      <c r="O141" s="118"/>
      <c r="P141" s="119"/>
      <c r="Q141" s="103"/>
      <c r="R141" s="241"/>
      <c r="S141" s="241"/>
      <c r="T141" s="241"/>
    </row>
    <row r="142" spans="1:20" x14ac:dyDescent="0.25">
      <c r="A142" s="58"/>
      <c r="B142" s="42"/>
      <c r="C142" s="43"/>
      <c r="D142" s="44"/>
      <c r="E142" s="44"/>
      <c r="F142" s="47"/>
      <c r="G142" s="47"/>
      <c r="H142" s="47"/>
      <c r="I142" s="47"/>
      <c r="J142" s="47"/>
      <c r="K142" s="47"/>
      <c r="L142" s="47"/>
      <c r="M142" s="47"/>
      <c r="N142" s="47"/>
      <c r="O142" s="47"/>
      <c r="P142" s="92"/>
    </row>
    <row r="143" spans="1:20" x14ac:dyDescent="0.25">
      <c r="A143" s="26">
        <v>2</v>
      </c>
      <c r="B143" s="27" t="s">
        <v>28</v>
      </c>
      <c r="C143" s="28"/>
      <c r="D143" s="29"/>
      <c r="E143" s="29"/>
      <c r="F143" s="30">
        <f>SUM(F144:F146)</f>
        <v>2219.7449999999999</v>
      </c>
      <c r="G143" s="30" t="e">
        <f>#REF!+G144+G145+G146</f>
        <v>#REF!</v>
      </c>
      <c r="H143" s="30" t="e">
        <f>#REF!+H144+H145+H146</f>
        <v>#REF!</v>
      </c>
      <c r="I143" s="30">
        <f t="shared" ref="I143:P143" si="63">SUM(I144:I146)</f>
        <v>2219.7449999999999</v>
      </c>
      <c r="J143" s="30">
        <f t="shared" si="63"/>
        <v>0</v>
      </c>
      <c r="K143" s="30">
        <f t="shared" si="63"/>
        <v>0</v>
      </c>
      <c r="L143" s="30">
        <f t="shared" si="63"/>
        <v>2219.7449999999999</v>
      </c>
      <c r="M143" s="30">
        <f t="shared" si="63"/>
        <v>1553.8215</v>
      </c>
      <c r="N143" s="30">
        <f t="shared" si="63"/>
        <v>554.93624999999997</v>
      </c>
      <c r="O143" s="30">
        <f t="shared" si="63"/>
        <v>110.98725</v>
      </c>
      <c r="P143" s="31">
        <f t="shared" si="63"/>
        <v>0</v>
      </c>
    </row>
    <row r="144" spans="1:20" x14ac:dyDescent="0.25">
      <c r="A144" s="26"/>
      <c r="B144" s="62" t="s">
        <v>153</v>
      </c>
      <c r="C144" s="52">
        <v>0.62</v>
      </c>
      <c r="D144" s="29"/>
      <c r="E144" s="53" t="s">
        <v>33</v>
      </c>
      <c r="F144" s="45">
        <f>I144</f>
        <v>952.245</v>
      </c>
      <c r="G144" s="30"/>
      <c r="H144" s="30"/>
      <c r="I144" s="45">
        <f>L144</f>
        <v>952.245</v>
      </c>
      <c r="J144" s="30"/>
      <c r="K144" s="30"/>
      <c r="L144" s="55">
        <v>952.245</v>
      </c>
      <c r="M144" s="55">
        <f>L144*70%</f>
        <v>666.57150000000001</v>
      </c>
      <c r="N144" s="55">
        <f>L144*25%</f>
        <v>238.06125</v>
      </c>
      <c r="O144" s="55">
        <f>L144*5%</f>
        <v>47.612250000000003</v>
      </c>
      <c r="P144" s="31"/>
    </row>
    <row r="145" spans="1:20" x14ac:dyDescent="0.25">
      <c r="A145" s="26"/>
      <c r="B145" s="62" t="s">
        <v>154</v>
      </c>
      <c r="C145" s="52">
        <v>0.4</v>
      </c>
      <c r="D145" s="29"/>
      <c r="E145" s="53" t="s">
        <v>33</v>
      </c>
      <c r="F145" s="45">
        <f>I145</f>
        <v>942.5</v>
      </c>
      <c r="G145" s="30"/>
      <c r="H145" s="30"/>
      <c r="I145" s="45">
        <f>L145</f>
        <v>942.5</v>
      </c>
      <c r="J145" s="30"/>
      <c r="K145" s="30"/>
      <c r="L145" s="55">
        <f>1300*0.725</f>
        <v>942.5</v>
      </c>
      <c r="M145" s="55">
        <f>L145*70%</f>
        <v>659.75</v>
      </c>
      <c r="N145" s="55">
        <f>L145*25%</f>
        <v>235.625</v>
      </c>
      <c r="O145" s="55">
        <f>L145*5%</f>
        <v>47.125</v>
      </c>
      <c r="P145" s="31"/>
    </row>
    <row r="146" spans="1:20" x14ac:dyDescent="0.25">
      <c r="A146" s="26"/>
      <c r="B146" s="62" t="s">
        <v>155</v>
      </c>
      <c r="C146" s="52">
        <v>0.2</v>
      </c>
      <c r="D146" s="29"/>
      <c r="E146" s="53" t="s">
        <v>33</v>
      </c>
      <c r="F146" s="45">
        <f>I146</f>
        <v>325</v>
      </c>
      <c r="G146" s="30"/>
      <c r="H146" s="30"/>
      <c r="I146" s="45">
        <f>L146</f>
        <v>325</v>
      </c>
      <c r="J146" s="30"/>
      <c r="K146" s="30"/>
      <c r="L146" s="55">
        <f>1300*0.25</f>
        <v>325</v>
      </c>
      <c r="M146" s="55">
        <f>L146*70%</f>
        <v>227.49999999999997</v>
      </c>
      <c r="N146" s="55">
        <f>L146*25%</f>
        <v>81.25</v>
      </c>
      <c r="O146" s="55">
        <f>L146*5%</f>
        <v>16.25</v>
      </c>
      <c r="P146" s="31"/>
    </row>
    <row r="147" spans="1:20" hidden="1" x14ac:dyDescent="0.25">
      <c r="A147" s="26">
        <v>3</v>
      </c>
      <c r="B147" s="27" t="s">
        <v>36</v>
      </c>
      <c r="C147" s="28"/>
      <c r="D147" s="29"/>
      <c r="E147" s="29"/>
      <c r="F147" s="30">
        <f>G147+H147+I147+J147+K147</f>
        <v>0</v>
      </c>
      <c r="G147" s="30">
        <f t="shared" ref="G147:P147" si="64">SUM(G148:G149)</f>
        <v>0</v>
      </c>
      <c r="H147" s="30">
        <f t="shared" si="64"/>
        <v>0</v>
      </c>
      <c r="I147" s="30">
        <f t="shared" si="64"/>
        <v>0</v>
      </c>
      <c r="J147" s="30">
        <f t="shared" si="64"/>
        <v>0</v>
      </c>
      <c r="K147" s="30">
        <f t="shared" si="64"/>
        <v>0</v>
      </c>
      <c r="L147" s="30">
        <f t="shared" si="64"/>
        <v>0</v>
      </c>
      <c r="M147" s="30">
        <f t="shared" si="64"/>
        <v>0</v>
      </c>
      <c r="N147" s="30">
        <f t="shared" si="64"/>
        <v>0</v>
      </c>
      <c r="O147" s="30">
        <f t="shared" si="64"/>
        <v>0</v>
      </c>
      <c r="P147" s="31">
        <f t="shared" si="64"/>
        <v>0</v>
      </c>
    </row>
    <row r="148" spans="1:20" hidden="1" x14ac:dyDescent="0.25">
      <c r="A148" s="58"/>
      <c r="B148" s="51"/>
      <c r="C148" s="52"/>
      <c r="D148" s="53"/>
      <c r="E148" s="53"/>
      <c r="F148" s="55"/>
      <c r="G148" s="55"/>
      <c r="H148" s="55"/>
      <c r="I148" s="55"/>
      <c r="J148" s="55"/>
      <c r="K148" s="55"/>
      <c r="L148" s="55"/>
      <c r="M148" s="55"/>
      <c r="N148" s="55"/>
      <c r="O148" s="55"/>
      <c r="P148" s="56"/>
    </row>
    <row r="149" spans="1:20" hidden="1" x14ac:dyDescent="0.25">
      <c r="A149" s="58"/>
      <c r="B149" s="51"/>
      <c r="C149" s="52"/>
      <c r="D149" s="53"/>
      <c r="E149" s="53"/>
      <c r="F149" s="45"/>
      <c r="G149" s="45"/>
      <c r="H149" s="45"/>
      <c r="I149" s="55"/>
      <c r="J149" s="45"/>
      <c r="K149" s="45"/>
      <c r="L149" s="45"/>
      <c r="M149" s="55"/>
      <c r="N149" s="55"/>
      <c r="O149" s="55"/>
      <c r="P149" s="56"/>
    </row>
    <row r="150" spans="1:20" x14ac:dyDescent="0.25">
      <c r="A150" s="32">
        <v>3</v>
      </c>
      <c r="B150" s="27" t="s">
        <v>159</v>
      </c>
      <c r="C150" s="28"/>
      <c r="D150" s="29"/>
      <c r="E150" s="29"/>
      <c r="F150" s="30">
        <f>G150+H150+I150+J150+K150</f>
        <v>650</v>
      </c>
      <c r="G150" s="30">
        <f t="shared" ref="G150:P150" si="65">G151</f>
        <v>0</v>
      </c>
      <c r="H150" s="30">
        <f t="shared" si="65"/>
        <v>0</v>
      </c>
      <c r="I150" s="30">
        <f t="shared" si="65"/>
        <v>650</v>
      </c>
      <c r="J150" s="30">
        <f t="shared" si="65"/>
        <v>0</v>
      </c>
      <c r="K150" s="30">
        <f t="shared" si="65"/>
        <v>0</v>
      </c>
      <c r="L150" s="30">
        <f t="shared" si="65"/>
        <v>650</v>
      </c>
      <c r="M150" s="30">
        <f t="shared" si="65"/>
        <v>454.99999999999994</v>
      </c>
      <c r="N150" s="30">
        <f t="shared" si="65"/>
        <v>130</v>
      </c>
      <c r="O150" s="30">
        <f t="shared" si="65"/>
        <v>65</v>
      </c>
      <c r="P150" s="31">
        <f t="shared" si="65"/>
        <v>0</v>
      </c>
    </row>
    <row r="151" spans="1:20" ht="31.5" x14ac:dyDescent="0.25">
      <c r="A151" s="41"/>
      <c r="B151" s="51" t="s">
        <v>459</v>
      </c>
      <c r="C151" s="52"/>
      <c r="D151" s="53" t="s">
        <v>39</v>
      </c>
      <c r="E151" s="53"/>
      <c r="F151" s="45">
        <v>650</v>
      </c>
      <c r="G151" s="45"/>
      <c r="H151" s="45"/>
      <c r="I151" s="45">
        <v>650</v>
      </c>
      <c r="J151" s="45"/>
      <c r="K151" s="45"/>
      <c r="L151" s="45">
        <v>650</v>
      </c>
      <c r="M151" s="45">
        <f>L151*70%</f>
        <v>454.99999999999994</v>
      </c>
      <c r="N151" s="45">
        <f>L151*20%</f>
        <v>130</v>
      </c>
      <c r="O151" s="45">
        <f>L151*10%</f>
        <v>65</v>
      </c>
      <c r="P151" s="48">
        <v>0</v>
      </c>
    </row>
    <row r="152" spans="1:20" x14ac:dyDescent="0.25">
      <c r="A152" s="61"/>
      <c r="B152" s="62"/>
      <c r="C152" s="63"/>
      <c r="D152" s="62"/>
      <c r="E152" s="80"/>
      <c r="F152" s="60"/>
      <c r="G152" s="46"/>
      <c r="H152" s="46"/>
      <c r="I152" s="60"/>
      <c r="J152" s="60"/>
      <c r="K152" s="60"/>
      <c r="L152" s="60"/>
      <c r="M152" s="60"/>
      <c r="N152" s="60"/>
      <c r="O152" s="60"/>
      <c r="P152" s="64"/>
      <c r="Q152" s="9"/>
    </row>
    <row r="153" spans="1:20" x14ac:dyDescent="0.25">
      <c r="A153" s="19" t="s">
        <v>160</v>
      </c>
      <c r="B153" s="20" t="s">
        <v>161</v>
      </c>
      <c r="C153" s="21"/>
      <c r="D153" s="22"/>
      <c r="E153" s="22"/>
      <c r="F153" s="23">
        <f>F154+F160+F165</f>
        <v>3089.576</v>
      </c>
      <c r="G153" s="23">
        <f>G154+G160+G165</f>
        <v>0</v>
      </c>
      <c r="H153" s="23">
        <f>H154+H160+H165</f>
        <v>0</v>
      </c>
      <c r="I153" s="23">
        <f>I154+I160+I165</f>
        <v>1691.4960000000001</v>
      </c>
      <c r="J153" s="23">
        <f t="shared" ref="J153:P153" si="66">J154+J160+J165</f>
        <v>1298.08</v>
      </c>
      <c r="K153" s="23">
        <f t="shared" si="66"/>
        <v>0</v>
      </c>
      <c r="L153" s="23">
        <f t="shared" si="66"/>
        <v>3089.576</v>
      </c>
      <c r="M153" s="23">
        <f t="shared" si="66"/>
        <v>2132.7031999999999</v>
      </c>
      <c r="N153" s="23">
        <f t="shared" si="66"/>
        <v>771.84019999999998</v>
      </c>
      <c r="O153" s="23">
        <f t="shared" si="66"/>
        <v>143.483</v>
      </c>
      <c r="P153" s="25">
        <f t="shared" si="66"/>
        <v>41.549600000000005</v>
      </c>
    </row>
    <row r="154" spans="1:20" x14ac:dyDescent="0.25">
      <c r="A154" s="41">
        <v>1</v>
      </c>
      <c r="B154" s="27" t="s">
        <v>22</v>
      </c>
      <c r="C154" s="52"/>
      <c r="D154" s="53"/>
      <c r="E154" s="53"/>
      <c r="F154" s="30">
        <v>515.49599999999998</v>
      </c>
      <c r="G154" s="30">
        <f>G155</f>
        <v>0</v>
      </c>
      <c r="H154" s="30">
        <f>H155</f>
        <v>0</v>
      </c>
      <c r="I154" s="30">
        <f>I155+I158</f>
        <v>415.49599999999998</v>
      </c>
      <c r="J154" s="30">
        <f>J155+J158</f>
        <v>0</v>
      </c>
      <c r="K154" s="45">
        <f>SUM(K155:K160)</f>
        <v>0</v>
      </c>
      <c r="L154" s="30">
        <f>L155+L158</f>
        <v>515.49599999999998</v>
      </c>
      <c r="M154" s="30">
        <f>M155+M158</f>
        <v>330.84719999999993</v>
      </c>
      <c r="N154" s="30">
        <f>N155+N158</f>
        <v>143.0992</v>
      </c>
      <c r="O154" s="30">
        <f>O155+O158</f>
        <v>0</v>
      </c>
      <c r="P154" s="31">
        <f>P155+P158</f>
        <v>41.549600000000005</v>
      </c>
    </row>
    <row r="155" spans="1:20" x14ac:dyDescent="0.25">
      <c r="A155" s="41" t="s">
        <v>26</v>
      </c>
      <c r="B155" s="33" t="s">
        <v>129</v>
      </c>
      <c r="C155" s="28">
        <f>SUM(C156:C157)</f>
        <v>0.62200000000000011</v>
      </c>
      <c r="D155" s="29" t="s">
        <v>105</v>
      </c>
      <c r="E155" s="29"/>
      <c r="F155" s="30">
        <v>415.49599999999998</v>
      </c>
      <c r="G155" s="30">
        <f t="shared" ref="G155:P155" si="67">SUM(G156:G157)</f>
        <v>0</v>
      </c>
      <c r="H155" s="30">
        <f t="shared" si="67"/>
        <v>0</v>
      </c>
      <c r="I155" s="30">
        <f t="shared" si="67"/>
        <v>415.49599999999998</v>
      </c>
      <c r="J155" s="30">
        <f t="shared" si="67"/>
        <v>0</v>
      </c>
      <c r="K155" s="30">
        <f t="shared" si="67"/>
        <v>0</v>
      </c>
      <c r="L155" s="30">
        <f t="shared" si="67"/>
        <v>415.49599999999998</v>
      </c>
      <c r="M155" s="30">
        <f t="shared" si="67"/>
        <v>290.84719999999993</v>
      </c>
      <c r="N155" s="30">
        <f t="shared" si="67"/>
        <v>83.09920000000001</v>
      </c>
      <c r="O155" s="30">
        <f t="shared" si="67"/>
        <v>0</v>
      </c>
      <c r="P155" s="31">
        <f t="shared" si="67"/>
        <v>41.549600000000005</v>
      </c>
    </row>
    <row r="156" spans="1:20" ht="31.5" x14ac:dyDescent="0.25">
      <c r="A156" s="41"/>
      <c r="B156" s="51" t="s">
        <v>162</v>
      </c>
      <c r="C156" s="79">
        <v>7.0000000000000007E-2</v>
      </c>
      <c r="D156" s="53"/>
      <c r="E156" s="53" t="s">
        <v>56</v>
      </c>
      <c r="F156" s="45">
        <v>46.76</v>
      </c>
      <c r="G156" s="45"/>
      <c r="H156" s="45"/>
      <c r="I156" s="45">
        <v>46.76</v>
      </c>
      <c r="J156" s="45"/>
      <c r="K156" s="45"/>
      <c r="L156" s="45">
        <v>46.76</v>
      </c>
      <c r="M156" s="45">
        <f>L156*70%</f>
        <v>32.731999999999999</v>
      </c>
      <c r="N156" s="45">
        <f>L156*20%</f>
        <v>9.3520000000000003</v>
      </c>
      <c r="O156" s="45"/>
      <c r="P156" s="48">
        <f>L156*10%</f>
        <v>4.6760000000000002</v>
      </c>
      <c r="Q156" s="9"/>
    </row>
    <row r="157" spans="1:20" ht="31.5" x14ac:dyDescent="0.25">
      <c r="A157" s="41"/>
      <c r="B157" s="51" t="s">
        <v>163</v>
      </c>
      <c r="C157" s="79">
        <v>0.55200000000000005</v>
      </c>
      <c r="D157" s="53"/>
      <c r="E157" s="53" t="s">
        <v>56</v>
      </c>
      <c r="F157" s="45">
        <v>368.73599999999999</v>
      </c>
      <c r="G157" s="45"/>
      <c r="H157" s="45"/>
      <c r="I157" s="45">
        <v>368.73599999999999</v>
      </c>
      <c r="J157" s="45"/>
      <c r="K157" s="45"/>
      <c r="L157" s="45">
        <v>368.73599999999999</v>
      </c>
      <c r="M157" s="45">
        <f>L157*70%</f>
        <v>258.11519999999996</v>
      </c>
      <c r="N157" s="45">
        <f>L157*20%</f>
        <v>73.747200000000007</v>
      </c>
      <c r="O157" s="45"/>
      <c r="P157" s="48">
        <f>L157*10%</f>
        <v>36.873600000000003</v>
      </c>
    </row>
    <row r="158" spans="1:20" x14ac:dyDescent="0.25">
      <c r="A158" s="41" t="s">
        <v>26</v>
      </c>
      <c r="B158" s="33" t="s">
        <v>164</v>
      </c>
      <c r="C158" s="79">
        <f>C159</f>
        <v>0.1</v>
      </c>
      <c r="D158" s="53"/>
      <c r="E158" s="53"/>
      <c r="F158" s="70">
        <f>F159</f>
        <v>100</v>
      </c>
      <c r="G158" s="30"/>
      <c r="H158" s="30"/>
      <c r="I158" s="30">
        <f>I159</f>
        <v>0</v>
      </c>
      <c r="J158" s="30"/>
      <c r="K158" s="30"/>
      <c r="L158" s="70">
        <f>L159</f>
        <v>100</v>
      </c>
      <c r="M158" s="70">
        <f>M159</f>
        <v>40</v>
      </c>
      <c r="N158" s="70">
        <f>N159</f>
        <v>60</v>
      </c>
      <c r="O158" s="30"/>
      <c r="P158" s="31"/>
    </row>
    <row r="159" spans="1:20" s="120" customFormat="1" ht="47.25" x14ac:dyDescent="0.25">
      <c r="A159" s="115"/>
      <c r="B159" s="249" t="s">
        <v>165</v>
      </c>
      <c r="C159" s="116">
        <v>0.1</v>
      </c>
      <c r="D159" s="117"/>
      <c r="E159" s="238" t="s">
        <v>468</v>
      </c>
      <c r="F159" s="118">
        <f>G159+H159+I159+J159+K159</f>
        <v>100</v>
      </c>
      <c r="G159" s="118"/>
      <c r="H159" s="118"/>
      <c r="I159" s="252"/>
      <c r="J159" s="252">
        <v>100</v>
      </c>
      <c r="K159" s="118"/>
      <c r="L159" s="118">
        <v>100</v>
      </c>
      <c r="M159" s="118">
        <f>L159*40%</f>
        <v>40</v>
      </c>
      <c r="N159" s="118">
        <f>L159*60%</f>
        <v>60</v>
      </c>
      <c r="O159" s="118"/>
      <c r="P159" s="119"/>
      <c r="Q159" s="103"/>
      <c r="R159" s="241"/>
      <c r="S159" s="241"/>
      <c r="T159" s="241"/>
    </row>
    <row r="160" spans="1:20" x14ac:dyDescent="0.25">
      <c r="A160" s="41">
        <v>2</v>
      </c>
      <c r="B160" s="27" t="s">
        <v>28</v>
      </c>
      <c r="C160" s="52"/>
      <c r="D160" s="29" t="s">
        <v>105</v>
      </c>
      <c r="E160" s="29"/>
      <c r="F160" s="30">
        <f t="shared" ref="F160:P160" si="68">SUM(F161:F164)</f>
        <v>2278.5</v>
      </c>
      <c r="G160" s="30">
        <f t="shared" si="68"/>
        <v>0</v>
      </c>
      <c r="H160" s="30">
        <f t="shared" si="68"/>
        <v>0</v>
      </c>
      <c r="I160" s="30">
        <f t="shared" si="68"/>
        <v>1176</v>
      </c>
      <c r="J160" s="30">
        <f t="shared" si="68"/>
        <v>1102.5</v>
      </c>
      <c r="K160" s="30">
        <f t="shared" si="68"/>
        <v>0</v>
      </c>
      <c r="L160" s="30">
        <f t="shared" si="68"/>
        <v>2278.5</v>
      </c>
      <c r="M160" s="30">
        <f t="shared" si="68"/>
        <v>1594.95</v>
      </c>
      <c r="N160" s="30">
        <f t="shared" si="68"/>
        <v>569.625</v>
      </c>
      <c r="O160" s="30">
        <f t="shared" si="68"/>
        <v>113.925</v>
      </c>
      <c r="P160" s="31">
        <f t="shared" si="68"/>
        <v>0</v>
      </c>
    </row>
    <row r="161" spans="1:17" ht="31.5" x14ac:dyDescent="0.25">
      <c r="A161" s="41"/>
      <c r="B161" s="51" t="s">
        <v>166</v>
      </c>
      <c r="C161" s="79">
        <v>0.6</v>
      </c>
      <c r="D161" s="53"/>
      <c r="E161" s="53" t="s">
        <v>33</v>
      </c>
      <c r="F161" s="45">
        <f>J161</f>
        <v>630</v>
      </c>
      <c r="G161" s="45"/>
      <c r="H161" s="45"/>
      <c r="I161" s="45"/>
      <c r="J161" s="45">
        <f>C161*1050</f>
        <v>630</v>
      </c>
      <c r="K161" s="45"/>
      <c r="L161" s="45">
        <v>630</v>
      </c>
      <c r="M161" s="45">
        <f>L161*70%</f>
        <v>441</v>
      </c>
      <c r="N161" s="45">
        <f>L161*25%</f>
        <v>157.5</v>
      </c>
      <c r="O161" s="45">
        <f>L161*5%</f>
        <v>31.5</v>
      </c>
      <c r="P161" s="48"/>
    </row>
    <row r="162" spans="1:17" ht="31.5" x14ac:dyDescent="0.25">
      <c r="A162" s="41"/>
      <c r="B162" s="51" t="s">
        <v>167</v>
      </c>
      <c r="C162" s="79">
        <v>0.45</v>
      </c>
      <c r="D162" s="53"/>
      <c r="E162" s="53" t="s">
        <v>33</v>
      </c>
      <c r="F162" s="45">
        <f>J162</f>
        <v>472.5</v>
      </c>
      <c r="G162" s="45"/>
      <c r="H162" s="45"/>
      <c r="I162" s="45"/>
      <c r="J162" s="45">
        <f>C162*1050</f>
        <v>472.5</v>
      </c>
      <c r="K162" s="45"/>
      <c r="L162" s="45">
        <v>472.5</v>
      </c>
      <c r="M162" s="45">
        <f>L162*70%</f>
        <v>330.75</v>
      </c>
      <c r="N162" s="45">
        <f>L162*25%</f>
        <v>118.125</v>
      </c>
      <c r="O162" s="45">
        <f>L162*5%</f>
        <v>23.625</v>
      </c>
      <c r="P162" s="48"/>
    </row>
    <row r="163" spans="1:17" ht="31.5" x14ac:dyDescent="0.25">
      <c r="A163" s="41"/>
      <c r="B163" s="51" t="s">
        <v>168</v>
      </c>
      <c r="C163" s="79">
        <v>0.32</v>
      </c>
      <c r="D163" s="53"/>
      <c r="E163" s="53" t="s">
        <v>33</v>
      </c>
      <c r="F163" s="45">
        <f>I163</f>
        <v>336</v>
      </c>
      <c r="G163" s="45"/>
      <c r="H163" s="45"/>
      <c r="I163" s="45">
        <f>C163*1050</f>
        <v>336</v>
      </c>
      <c r="J163" s="45"/>
      <c r="K163" s="45"/>
      <c r="L163" s="45">
        <v>336</v>
      </c>
      <c r="M163" s="45">
        <f>L163*70%</f>
        <v>235.2</v>
      </c>
      <c r="N163" s="45">
        <f>L163*25%</f>
        <v>84</v>
      </c>
      <c r="O163" s="45">
        <f>L163*5%</f>
        <v>16.8</v>
      </c>
      <c r="P163" s="48"/>
    </row>
    <row r="164" spans="1:17" ht="31.5" x14ac:dyDescent="0.25">
      <c r="A164" s="41"/>
      <c r="B164" s="51" t="s">
        <v>169</v>
      </c>
      <c r="C164" s="79">
        <v>0.8</v>
      </c>
      <c r="D164" s="53"/>
      <c r="E164" s="53" t="s">
        <v>33</v>
      </c>
      <c r="F164" s="45">
        <f>I164</f>
        <v>840</v>
      </c>
      <c r="G164" s="45"/>
      <c r="H164" s="45"/>
      <c r="I164" s="45">
        <f>C164*1050</f>
        <v>840</v>
      </c>
      <c r="J164" s="45"/>
      <c r="K164" s="45"/>
      <c r="L164" s="45">
        <v>840</v>
      </c>
      <c r="M164" s="45">
        <f>L164*70%</f>
        <v>588</v>
      </c>
      <c r="N164" s="45">
        <f>L164*25%</f>
        <v>210</v>
      </c>
      <c r="O164" s="45">
        <f>L164*5%</f>
        <v>42</v>
      </c>
      <c r="P164" s="48"/>
    </row>
    <row r="165" spans="1:17" x14ac:dyDescent="0.25">
      <c r="A165" s="41">
        <v>3</v>
      </c>
      <c r="B165" s="27" t="s">
        <v>46</v>
      </c>
      <c r="C165" s="52"/>
      <c r="D165" s="53"/>
      <c r="E165" s="53"/>
      <c r="F165" s="30">
        <f t="shared" ref="F165:P165" si="69">SUM(F166:F168)</f>
        <v>295.58</v>
      </c>
      <c r="G165" s="30">
        <f t="shared" si="69"/>
        <v>0</v>
      </c>
      <c r="H165" s="30">
        <f t="shared" si="69"/>
        <v>0</v>
      </c>
      <c r="I165" s="30">
        <f t="shared" si="69"/>
        <v>100</v>
      </c>
      <c r="J165" s="30">
        <f t="shared" si="69"/>
        <v>195.57999999999998</v>
      </c>
      <c r="K165" s="30">
        <f t="shared" si="69"/>
        <v>0</v>
      </c>
      <c r="L165" s="30">
        <f t="shared" si="69"/>
        <v>295.58</v>
      </c>
      <c r="M165" s="30">
        <f t="shared" si="69"/>
        <v>206.90600000000001</v>
      </c>
      <c r="N165" s="30">
        <f t="shared" si="69"/>
        <v>59.116</v>
      </c>
      <c r="O165" s="30">
        <f t="shared" si="69"/>
        <v>29.558</v>
      </c>
      <c r="P165" s="31">
        <f t="shared" si="69"/>
        <v>0</v>
      </c>
    </row>
    <row r="166" spans="1:17" x14ac:dyDescent="0.25">
      <c r="A166" s="41"/>
      <c r="B166" s="81" t="s">
        <v>170</v>
      </c>
      <c r="C166" s="79">
        <v>0.13300000000000001</v>
      </c>
      <c r="D166" s="53" t="s">
        <v>171</v>
      </c>
      <c r="E166" s="53"/>
      <c r="F166" s="45">
        <f>J166</f>
        <v>100</v>
      </c>
      <c r="G166" s="45"/>
      <c r="H166" s="45"/>
      <c r="I166" s="45"/>
      <c r="J166" s="45">
        <v>100</v>
      </c>
      <c r="K166" s="45"/>
      <c r="L166" s="45">
        <v>100</v>
      </c>
      <c r="M166" s="45">
        <f>L166*70%</f>
        <v>70</v>
      </c>
      <c r="N166" s="45">
        <f>L166*20%</f>
        <v>20</v>
      </c>
      <c r="O166" s="45">
        <f>L166*10%</f>
        <v>10</v>
      </c>
      <c r="P166" s="48"/>
    </row>
    <row r="167" spans="1:17" ht="31.5" x14ac:dyDescent="0.25">
      <c r="A167" s="41"/>
      <c r="B167" s="51" t="s">
        <v>172</v>
      </c>
      <c r="C167" s="52">
        <v>1</v>
      </c>
      <c r="D167" s="53" t="s">
        <v>171</v>
      </c>
      <c r="E167" s="53"/>
      <c r="F167" s="45">
        <f>I167</f>
        <v>100</v>
      </c>
      <c r="G167" s="45"/>
      <c r="H167" s="45"/>
      <c r="I167" s="45">
        <v>100</v>
      </c>
      <c r="J167" s="45"/>
      <c r="K167" s="45"/>
      <c r="L167" s="45">
        <v>100</v>
      </c>
      <c r="M167" s="45">
        <f>L167*70%</f>
        <v>70</v>
      </c>
      <c r="N167" s="45">
        <f>L167*20%</f>
        <v>20</v>
      </c>
      <c r="O167" s="45">
        <f>L167*10%</f>
        <v>10</v>
      </c>
      <c r="P167" s="48"/>
      <c r="Q167" s="9"/>
    </row>
    <row r="168" spans="1:17" ht="31.5" x14ac:dyDescent="0.25">
      <c r="A168" s="41"/>
      <c r="B168" s="51" t="s">
        <v>173</v>
      </c>
      <c r="C168" s="52" t="s">
        <v>174</v>
      </c>
      <c r="D168" s="53"/>
      <c r="E168" s="53"/>
      <c r="F168" s="45">
        <f>J168</f>
        <v>95.58</v>
      </c>
      <c r="G168" s="45"/>
      <c r="H168" s="45"/>
      <c r="I168" s="45"/>
      <c r="J168" s="45">
        <v>95.58</v>
      </c>
      <c r="K168" s="45"/>
      <c r="L168" s="45">
        <v>95.58</v>
      </c>
      <c r="M168" s="45">
        <f>L168*70%</f>
        <v>66.905999999999992</v>
      </c>
      <c r="N168" s="45">
        <f>L168*20%</f>
        <v>19.116</v>
      </c>
      <c r="O168" s="45">
        <f>L168*10%</f>
        <v>9.5579999999999998</v>
      </c>
      <c r="P168" s="48"/>
    </row>
    <row r="169" spans="1:17" x14ac:dyDescent="0.25">
      <c r="A169" s="61"/>
      <c r="B169" s="62"/>
      <c r="C169" s="63"/>
      <c r="D169" s="62"/>
      <c r="E169" s="80"/>
      <c r="F169" s="60"/>
      <c r="G169" s="46"/>
      <c r="H169" s="46"/>
      <c r="I169" s="60"/>
      <c r="J169" s="60"/>
      <c r="K169" s="60"/>
      <c r="L169" s="60"/>
      <c r="M169" s="60"/>
      <c r="N169" s="60"/>
      <c r="O169" s="60"/>
      <c r="P169" s="64"/>
    </row>
    <row r="170" spans="1:17" x14ac:dyDescent="0.25">
      <c r="A170" s="19" t="s">
        <v>175</v>
      </c>
      <c r="B170" s="20" t="s">
        <v>176</v>
      </c>
      <c r="C170" s="21"/>
      <c r="D170" s="22"/>
      <c r="E170" s="22"/>
      <c r="F170" s="23">
        <f>F171+F174+F181+F192+F195+F197</f>
        <v>12383</v>
      </c>
      <c r="G170" s="23">
        <f>G171+G174+G181+G192+G195</f>
        <v>0</v>
      </c>
      <c r="H170" s="23">
        <f>H171+H174+H181+H192+H195</f>
        <v>0</v>
      </c>
      <c r="I170" s="23">
        <f>I171+I174+I192+I197</f>
        <v>7253</v>
      </c>
      <c r="J170" s="23">
        <f>J171+J174+J181+J192+J195</f>
        <v>3290</v>
      </c>
      <c r="K170" s="23">
        <f>K171+K174+K181+K192+K195</f>
        <v>1840</v>
      </c>
      <c r="L170" s="23">
        <f>L171+L174+L181+L192+L195+L197</f>
        <v>12383</v>
      </c>
      <c r="M170" s="23">
        <f>M171+M174+M181+M192+M195+M197</f>
        <v>8533.1</v>
      </c>
      <c r="N170" s="23">
        <f>N171+N174+N181+N192+N195+N197</f>
        <v>3253.25</v>
      </c>
      <c r="O170" s="23">
        <f>O171+O174+O181+O192+O195+O197</f>
        <v>97.5</v>
      </c>
      <c r="P170" s="25">
        <f>P171+P174+P181+P192+P195+P197</f>
        <v>499.15</v>
      </c>
    </row>
    <row r="171" spans="1:17" x14ac:dyDescent="0.25">
      <c r="A171" s="26">
        <v>1</v>
      </c>
      <c r="B171" s="27" t="s">
        <v>22</v>
      </c>
      <c r="C171" s="52" t="s">
        <v>25</v>
      </c>
      <c r="D171" s="29" t="s">
        <v>25</v>
      </c>
      <c r="E171" s="29"/>
      <c r="F171" s="30">
        <f>F172</f>
        <v>450</v>
      </c>
      <c r="G171" s="30">
        <f>G172</f>
        <v>0</v>
      </c>
      <c r="H171" s="30">
        <f>H172</f>
        <v>0</v>
      </c>
      <c r="I171" s="30">
        <f>I172</f>
        <v>450</v>
      </c>
      <c r="J171" s="30"/>
      <c r="K171" s="30">
        <f>K172</f>
        <v>0</v>
      </c>
      <c r="L171" s="30">
        <f t="shared" ref="L171:O172" si="70">L172</f>
        <v>450</v>
      </c>
      <c r="M171" s="30">
        <f t="shared" si="70"/>
        <v>180</v>
      </c>
      <c r="N171" s="30">
        <f t="shared" si="70"/>
        <v>270</v>
      </c>
      <c r="O171" s="30">
        <f t="shared" si="70"/>
        <v>0</v>
      </c>
      <c r="P171" s="31"/>
      <c r="Q171" s="9"/>
    </row>
    <row r="172" spans="1:17" x14ac:dyDescent="0.25">
      <c r="A172" s="32" t="s">
        <v>26</v>
      </c>
      <c r="B172" s="42" t="s">
        <v>81</v>
      </c>
      <c r="C172" s="43"/>
      <c r="D172" s="44"/>
      <c r="E172" s="44"/>
      <c r="F172" s="47">
        <f>F173</f>
        <v>450</v>
      </c>
      <c r="G172" s="47"/>
      <c r="H172" s="47"/>
      <c r="I172" s="47">
        <f>I173</f>
        <v>450</v>
      </c>
      <c r="J172" s="47"/>
      <c r="K172" s="47"/>
      <c r="L172" s="47">
        <f t="shared" si="70"/>
        <v>450</v>
      </c>
      <c r="M172" s="47">
        <f t="shared" si="70"/>
        <v>180</v>
      </c>
      <c r="N172" s="47">
        <f t="shared" si="70"/>
        <v>270</v>
      </c>
      <c r="O172" s="47">
        <f t="shared" si="70"/>
        <v>0</v>
      </c>
      <c r="P172" s="92"/>
    </row>
    <row r="173" spans="1:17" ht="31.5" x14ac:dyDescent="0.25">
      <c r="A173" s="222"/>
      <c r="B173" s="51" t="s">
        <v>177</v>
      </c>
      <c r="C173" s="52">
        <v>0.25</v>
      </c>
      <c r="D173" s="53"/>
      <c r="E173" s="53" t="s">
        <v>249</v>
      </c>
      <c r="F173" s="45">
        <f>I173</f>
        <v>450</v>
      </c>
      <c r="G173" s="45"/>
      <c r="H173" s="45"/>
      <c r="I173" s="45">
        <f>L173</f>
        <v>450</v>
      </c>
      <c r="J173" s="45"/>
      <c r="K173" s="45"/>
      <c r="L173" s="45">
        <v>450</v>
      </c>
      <c r="M173" s="45">
        <f>L173*40%</f>
        <v>180</v>
      </c>
      <c r="N173" s="45">
        <f>L173*60%</f>
        <v>270</v>
      </c>
      <c r="O173" s="45">
        <v>0</v>
      </c>
      <c r="P173" s="48"/>
    </row>
    <row r="174" spans="1:17" x14ac:dyDescent="0.25">
      <c r="A174" s="26">
        <v>2</v>
      </c>
      <c r="B174" s="27" t="s">
        <v>63</v>
      </c>
      <c r="C174" s="28"/>
      <c r="D174" s="29"/>
      <c r="E174" s="29"/>
      <c r="F174" s="30">
        <f>F175+F176+F177+F178+F179+F180</f>
        <v>4863</v>
      </c>
      <c r="G174" s="30">
        <f>G175</f>
        <v>0</v>
      </c>
      <c r="H174" s="30">
        <f>H175</f>
        <v>0</v>
      </c>
      <c r="I174" s="30">
        <f>+I175+I176+I177+I178+I179+I180</f>
        <v>4023</v>
      </c>
      <c r="J174" s="30">
        <f>J175</f>
        <v>0</v>
      </c>
      <c r="K174" s="30">
        <v>840</v>
      </c>
      <c r="L174" s="30">
        <f>L175+L176+L177+L178+L179+L180</f>
        <v>4863</v>
      </c>
      <c r="M174" s="30">
        <f>M175+M176+M177+M178+M179+M180</f>
        <v>3404.1</v>
      </c>
      <c r="N174" s="30">
        <f>N175+N176+N177+N178+N179+N180</f>
        <v>1215.75</v>
      </c>
      <c r="O174" s="30">
        <f>O175+O176+O177+O178+O179+O180</f>
        <v>0</v>
      </c>
      <c r="P174" s="31">
        <f>P175+P176+P177+P178+P179+P180</f>
        <v>243.15</v>
      </c>
    </row>
    <row r="175" spans="1:17" ht="63" x14ac:dyDescent="0.25">
      <c r="A175" s="41" t="s">
        <v>26</v>
      </c>
      <c r="B175" s="51" t="s">
        <v>178</v>
      </c>
      <c r="C175" s="52">
        <v>0.6</v>
      </c>
      <c r="D175" s="53" t="s">
        <v>25</v>
      </c>
      <c r="E175" s="53"/>
      <c r="F175" s="45">
        <f>I175</f>
        <v>550</v>
      </c>
      <c r="G175" s="45"/>
      <c r="H175" s="45"/>
      <c r="I175" s="45">
        <f>L175</f>
        <v>550</v>
      </c>
      <c r="J175" s="45"/>
      <c r="K175" s="45"/>
      <c r="L175" s="45">
        <v>550</v>
      </c>
      <c r="M175" s="45">
        <f t="shared" ref="M175:M180" si="71">L175*0.7</f>
        <v>385</v>
      </c>
      <c r="N175" s="45">
        <f t="shared" ref="N175:N180" si="72">L175*0.25</f>
        <v>137.5</v>
      </c>
      <c r="O175" s="45"/>
      <c r="P175" s="48">
        <f t="shared" ref="P175:P180" si="73">L175*0.05</f>
        <v>27.5</v>
      </c>
    </row>
    <row r="176" spans="1:17" ht="63" x14ac:dyDescent="0.25">
      <c r="A176" s="41" t="s">
        <v>26</v>
      </c>
      <c r="B176" s="51" t="s">
        <v>179</v>
      </c>
      <c r="C176" s="52">
        <v>0.5</v>
      </c>
      <c r="D176" s="53"/>
      <c r="E176" s="53"/>
      <c r="F176" s="45">
        <f>I176</f>
        <v>800</v>
      </c>
      <c r="G176" s="45"/>
      <c r="H176" s="45"/>
      <c r="I176" s="45">
        <f>L176</f>
        <v>800</v>
      </c>
      <c r="J176" s="45"/>
      <c r="K176" s="45"/>
      <c r="L176" s="45">
        <v>800</v>
      </c>
      <c r="M176" s="45">
        <f t="shared" si="71"/>
        <v>560</v>
      </c>
      <c r="N176" s="45">
        <f t="shared" si="72"/>
        <v>200</v>
      </c>
      <c r="O176" s="45"/>
      <c r="P176" s="48">
        <f t="shared" si="73"/>
        <v>40</v>
      </c>
    </row>
    <row r="177" spans="1:17" ht="31.5" x14ac:dyDescent="0.25">
      <c r="A177" s="41" t="s">
        <v>26</v>
      </c>
      <c r="B177" s="51" t="s">
        <v>180</v>
      </c>
      <c r="C177" s="52">
        <v>1.1000000000000001</v>
      </c>
      <c r="D177" s="53"/>
      <c r="E177" s="53"/>
      <c r="F177" s="45">
        <f>I177</f>
        <v>1173</v>
      </c>
      <c r="G177" s="45"/>
      <c r="H177" s="45"/>
      <c r="I177" s="45">
        <f>L177</f>
        <v>1173</v>
      </c>
      <c r="J177" s="45"/>
      <c r="K177" s="45"/>
      <c r="L177" s="45">
        <v>1173</v>
      </c>
      <c r="M177" s="45">
        <f t="shared" si="71"/>
        <v>821.09999999999991</v>
      </c>
      <c r="N177" s="45">
        <f t="shared" si="72"/>
        <v>293.25</v>
      </c>
      <c r="O177" s="45"/>
      <c r="P177" s="48">
        <f t="shared" si="73"/>
        <v>58.650000000000006</v>
      </c>
    </row>
    <row r="178" spans="1:17" ht="47.25" x14ac:dyDescent="0.25">
      <c r="A178" s="41" t="s">
        <v>26</v>
      </c>
      <c r="B178" s="51" t="s">
        <v>181</v>
      </c>
      <c r="C178" s="52">
        <v>1</v>
      </c>
      <c r="D178" s="53"/>
      <c r="E178" s="53"/>
      <c r="F178" s="45">
        <f>I178</f>
        <v>960</v>
      </c>
      <c r="G178" s="45"/>
      <c r="H178" s="45"/>
      <c r="I178" s="45">
        <f>L178</f>
        <v>960</v>
      </c>
      <c r="J178" s="45"/>
      <c r="K178" s="45"/>
      <c r="L178" s="45">
        <v>960</v>
      </c>
      <c r="M178" s="45">
        <f t="shared" si="71"/>
        <v>672</v>
      </c>
      <c r="N178" s="45">
        <f t="shared" si="72"/>
        <v>240</v>
      </c>
      <c r="O178" s="45"/>
      <c r="P178" s="48">
        <f t="shared" si="73"/>
        <v>48</v>
      </c>
      <c r="Q178" s="9"/>
    </row>
    <row r="179" spans="1:17" ht="63" x14ac:dyDescent="0.25">
      <c r="A179" s="41" t="s">
        <v>26</v>
      </c>
      <c r="B179" s="51" t="s">
        <v>182</v>
      </c>
      <c r="C179" s="52">
        <v>0.4</v>
      </c>
      <c r="D179" s="53"/>
      <c r="E179" s="53"/>
      <c r="F179" s="45">
        <f>I179</f>
        <v>540</v>
      </c>
      <c r="G179" s="45"/>
      <c r="H179" s="45"/>
      <c r="I179" s="45">
        <f>L179</f>
        <v>540</v>
      </c>
      <c r="J179" s="45"/>
      <c r="K179" s="45"/>
      <c r="L179" s="45">
        <v>540</v>
      </c>
      <c r="M179" s="45">
        <f t="shared" si="71"/>
        <v>378</v>
      </c>
      <c r="N179" s="45">
        <f t="shared" si="72"/>
        <v>135</v>
      </c>
      <c r="O179" s="45"/>
      <c r="P179" s="48">
        <f t="shared" si="73"/>
        <v>27</v>
      </c>
    </row>
    <row r="180" spans="1:17" ht="31.5" x14ac:dyDescent="0.25">
      <c r="A180" s="41" t="s">
        <v>26</v>
      </c>
      <c r="B180" s="51" t="s">
        <v>183</v>
      </c>
      <c r="C180" s="52">
        <v>0.9</v>
      </c>
      <c r="D180" s="53"/>
      <c r="E180" s="53"/>
      <c r="F180" s="45">
        <v>840</v>
      </c>
      <c r="G180" s="45"/>
      <c r="H180" s="45"/>
      <c r="I180" s="45"/>
      <c r="J180" s="45"/>
      <c r="K180" s="45">
        <f>L180</f>
        <v>840</v>
      </c>
      <c r="L180" s="45">
        <v>840</v>
      </c>
      <c r="M180" s="45">
        <f t="shared" si="71"/>
        <v>588</v>
      </c>
      <c r="N180" s="45">
        <f t="shared" si="72"/>
        <v>210</v>
      </c>
      <c r="O180" s="45"/>
      <c r="P180" s="48">
        <f t="shared" si="73"/>
        <v>42</v>
      </c>
    </row>
    <row r="181" spans="1:17" x14ac:dyDescent="0.25">
      <c r="A181" s="26">
        <v>3</v>
      </c>
      <c r="B181" s="27" t="s">
        <v>65</v>
      </c>
      <c r="C181" s="28"/>
      <c r="D181" s="29"/>
      <c r="E181" s="29"/>
      <c r="F181" s="30">
        <f>F182+F183+F184+F185+F186+F187+F188+F189+F190+F191</f>
        <v>3290</v>
      </c>
      <c r="G181" s="30">
        <f t="shared" ref="G181:O181" si="74">G182+G185</f>
        <v>0</v>
      </c>
      <c r="H181" s="30">
        <f t="shared" si="74"/>
        <v>0</v>
      </c>
      <c r="I181" s="30">
        <f t="shared" si="74"/>
        <v>0</v>
      </c>
      <c r="J181" s="30">
        <f>J182+J183+J184+J185+J186+J187+J188+J189+J190+J191</f>
        <v>3290</v>
      </c>
      <c r="K181" s="30">
        <f t="shared" si="74"/>
        <v>0</v>
      </c>
      <c r="L181" s="30">
        <f>L182+L183+L184+L185+L186+L187+L188+L189+L190+L191</f>
        <v>3290</v>
      </c>
      <c r="M181" s="30">
        <f>M182+M183+M184+M185+M186+M187+M188+M189+M190+M191</f>
        <v>2303</v>
      </c>
      <c r="N181" s="30">
        <f>N182+N183+N184+N185+N186+N187+N188+N189+N190+N191</f>
        <v>822.5</v>
      </c>
      <c r="O181" s="30">
        <f t="shared" si="74"/>
        <v>0</v>
      </c>
      <c r="P181" s="31">
        <f>P182+P183+P184+P185+P186+P187+P188+P189+P190+P191</f>
        <v>164.5</v>
      </c>
    </row>
    <row r="182" spans="1:17" ht="47.25" x14ac:dyDescent="0.25">
      <c r="A182" s="41" t="s">
        <v>26</v>
      </c>
      <c r="B182" s="51" t="s">
        <v>184</v>
      </c>
      <c r="C182" s="52">
        <v>3</v>
      </c>
      <c r="D182" s="29"/>
      <c r="E182" s="53"/>
      <c r="F182" s="45">
        <v>200</v>
      </c>
      <c r="G182" s="30"/>
      <c r="H182" s="30"/>
      <c r="I182" s="30"/>
      <c r="J182" s="45">
        <f>L182</f>
        <v>200</v>
      </c>
      <c r="K182" s="45"/>
      <c r="L182" s="45">
        <v>200</v>
      </c>
      <c r="M182" s="45">
        <f>L182*70%</f>
        <v>140</v>
      </c>
      <c r="N182" s="45">
        <f t="shared" ref="N182:N191" si="75">L182*0.25</f>
        <v>50</v>
      </c>
      <c r="O182" s="45"/>
      <c r="P182" s="48">
        <f t="shared" ref="P182:P191" si="76">L182*0.05</f>
        <v>10</v>
      </c>
    </row>
    <row r="183" spans="1:17" ht="31.5" x14ac:dyDescent="0.25">
      <c r="A183" s="41" t="s">
        <v>26</v>
      </c>
      <c r="B183" s="51" t="s">
        <v>185</v>
      </c>
      <c r="C183" s="52">
        <v>0.8</v>
      </c>
      <c r="D183" s="29"/>
      <c r="E183" s="53"/>
      <c r="F183" s="45">
        <v>332</v>
      </c>
      <c r="G183" s="30"/>
      <c r="H183" s="30"/>
      <c r="I183" s="30"/>
      <c r="J183" s="45">
        <f t="shared" ref="J183:J191" si="77">L183</f>
        <v>332</v>
      </c>
      <c r="K183" s="45"/>
      <c r="L183" s="45">
        <v>332</v>
      </c>
      <c r="M183" s="45">
        <f t="shared" ref="M183:M191" si="78">L183*0.7</f>
        <v>232.39999999999998</v>
      </c>
      <c r="N183" s="45">
        <f t="shared" si="75"/>
        <v>83</v>
      </c>
      <c r="O183" s="45"/>
      <c r="P183" s="48">
        <f t="shared" si="76"/>
        <v>16.600000000000001</v>
      </c>
    </row>
    <row r="184" spans="1:17" ht="31.5" x14ac:dyDescent="0.25">
      <c r="A184" s="41" t="s">
        <v>26</v>
      </c>
      <c r="B184" s="51" t="s">
        <v>186</v>
      </c>
      <c r="C184" s="52"/>
      <c r="D184" s="29"/>
      <c r="E184" s="53"/>
      <c r="F184" s="45">
        <v>651</v>
      </c>
      <c r="G184" s="30"/>
      <c r="H184" s="30"/>
      <c r="I184" s="30"/>
      <c r="J184" s="45">
        <f t="shared" si="77"/>
        <v>651</v>
      </c>
      <c r="K184" s="45"/>
      <c r="L184" s="45">
        <v>651</v>
      </c>
      <c r="M184" s="45">
        <f t="shared" si="78"/>
        <v>455.7</v>
      </c>
      <c r="N184" s="45">
        <f t="shared" si="75"/>
        <v>162.75</v>
      </c>
      <c r="O184" s="45"/>
      <c r="P184" s="48">
        <f t="shared" si="76"/>
        <v>32.550000000000004</v>
      </c>
    </row>
    <row r="185" spans="1:17" ht="47.25" x14ac:dyDescent="0.25">
      <c r="A185" s="41" t="s">
        <v>26</v>
      </c>
      <c r="B185" s="51" t="s">
        <v>187</v>
      </c>
      <c r="C185" s="52">
        <v>5</v>
      </c>
      <c r="D185" s="53" t="s">
        <v>188</v>
      </c>
      <c r="E185" s="53"/>
      <c r="F185" s="45">
        <v>620</v>
      </c>
      <c r="G185" s="45"/>
      <c r="H185" s="45"/>
      <c r="I185" s="45"/>
      <c r="J185" s="45">
        <f t="shared" si="77"/>
        <v>620</v>
      </c>
      <c r="K185" s="45"/>
      <c r="L185" s="45">
        <v>620</v>
      </c>
      <c r="M185" s="45">
        <f t="shared" si="78"/>
        <v>434</v>
      </c>
      <c r="N185" s="45">
        <f t="shared" si="75"/>
        <v>155</v>
      </c>
      <c r="O185" s="45"/>
      <c r="P185" s="48">
        <f t="shared" si="76"/>
        <v>31</v>
      </c>
    </row>
    <row r="186" spans="1:17" ht="31.5" x14ac:dyDescent="0.25">
      <c r="A186" s="41" t="s">
        <v>26</v>
      </c>
      <c r="B186" s="51" t="s">
        <v>189</v>
      </c>
      <c r="C186" s="52">
        <v>1.4</v>
      </c>
      <c r="D186" s="53"/>
      <c r="E186" s="53"/>
      <c r="F186" s="45">
        <v>510</v>
      </c>
      <c r="G186" s="45"/>
      <c r="H186" s="45"/>
      <c r="I186" s="45"/>
      <c r="J186" s="45">
        <f t="shared" si="77"/>
        <v>510</v>
      </c>
      <c r="K186" s="45"/>
      <c r="L186" s="45">
        <v>510</v>
      </c>
      <c r="M186" s="45">
        <f t="shared" si="78"/>
        <v>357</v>
      </c>
      <c r="N186" s="45">
        <f t="shared" si="75"/>
        <v>127.5</v>
      </c>
      <c r="O186" s="45"/>
      <c r="P186" s="48">
        <f t="shared" si="76"/>
        <v>25.5</v>
      </c>
    </row>
    <row r="187" spans="1:17" ht="47.25" x14ac:dyDescent="0.25">
      <c r="A187" s="41" t="s">
        <v>26</v>
      </c>
      <c r="B187" s="51" t="s">
        <v>190</v>
      </c>
      <c r="C187" s="52">
        <v>0.8</v>
      </c>
      <c r="D187" s="53"/>
      <c r="E187" s="53"/>
      <c r="F187" s="45">
        <v>285</v>
      </c>
      <c r="G187" s="45"/>
      <c r="H187" s="45"/>
      <c r="I187" s="45"/>
      <c r="J187" s="45">
        <f t="shared" si="77"/>
        <v>285</v>
      </c>
      <c r="K187" s="45"/>
      <c r="L187" s="45">
        <v>285</v>
      </c>
      <c r="M187" s="45">
        <f t="shared" si="78"/>
        <v>199.5</v>
      </c>
      <c r="N187" s="45">
        <f t="shared" si="75"/>
        <v>71.25</v>
      </c>
      <c r="O187" s="45"/>
      <c r="P187" s="48">
        <f t="shared" si="76"/>
        <v>14.25</v>
      </c>
    </row>
    <row r="188" spans="1:17" ht="31.5" x14ac:dyDescent="0.25">
      <c r="A188" s="41" t="s">
        <v>26</v>
      </c>
      <c r="B188" s="51" t="s">
        <v>191</v>
      </c>
      <c r="C188" s="52">
        <v>0.6</v>
      </c>
      <c r="D188" s="53"/>
      <c r="E188" s="53"/>
      <c r="F188" s="45">
        <v>225</v>
      </c>
      <c r="G188" s="45"/>
      <c r="H188" s="45"/>
      <c r="I188" s="45"/>
      <c r="J188" s="45">
        <f t="shared" si="77"/>
        <v>225</v>
      </c>
      <c r="K188" s="45"/>
      <c r="L188" s="45">
        <v>225</v>
      </c>
      <c r="M188" s="45">
        <f t="shared" si="78"/>
        <v>157.5</v>
      </c>
      <c r="N188" s="45">
        <f t="shared" si="75"/>
        <v>56.25</v>
      </c>
      <c r="O188" s="45"/>
      <c r="P188" s="48">
        <f t="shared" si="76"/>
        <v>11.25</v>
      </c>
    </row>
    <row r="189" spans="1:17" ht="47.25" x14ac:dyDescent="0.25">
      <c r="A189" s="41" t="s">
        <v>26</v>
      </c>
      <c r="B189" s="51" t="s">
        <v>192</v>
      </c>
      <c r="C189" s="52">
        <v>0.6</v>
      </c>
      <c r="D189" s="53"/>
      <c r="E189" s="53"/>
      <c r="F189" s="45">
        <v>220</v>
      </c>
      <c r="G189" s="45"/>
      <c r="H189" s="45"/>
      <c r="I189" s="45"/>
      <c r="J189" s="45">
        <f>L189</f>
        <v>220</v>
      </c>
      <c r="K189" s="45"/>
      <c r="L189" s="45">
        <v>220</v>
      </c>
      <c r="M189" s="45">
        <f t="shared" si="78"/>
        <v>154</v>
      </c>
      <c r="N189" s="45">
        <f t="shared" si="75"/>
        <v>55</v>
      </c>
      <c r="O189" s="45"/>
      <c r="P189" s="48">
        <f t="shared" si="76"/>
        <v>11</v>
      </c>
    </row>
    <row r="190" spans="1:17" ht="31.5" x14ac:dyDescent="0.25">
      <c r="A190" s="41" t="s">
        <v>26</v>
      </c>
      <c r="B190" s="51" t="s">
        <v>193</v>
      </c>
      <c r="C190" s="52"/>
      <c r="D190" s="53"/>
      <c r="E190" s="53"/>
      <c r="F190" s="45">
        <v>137</v>
      </c>
      <c r="G190" s="45"/>
      <c r="H190" s="45"/>
      <c r="I190" s="45"/>
      <c r="J190" s="45">
        <f t="shared" si="77"/>
        <v>137</v>
      </c>
      <c r="K190" s="45"/>
      <c r="L190" s="45">
        <v>137</v>
      </c>
      <c r="M190" s="45">
        <f t="shared" si="78"/>
        <v>95.899999999999991</v>
      </c>
      <c r="N190" s="45">
        <f t="shared" si="75"/>
        <v>34.25</v>
      </c>
      <c r="O190" s="45"/>
      <c r="P190" s="48">
        <f t="shared" si="76"/>
        <v>6.8500000000000005</v>
      </c>
    </row>
    <row r="191" spans="1:17" ht="47.25" x14ac:dyDescent="0.25">
      <c r="A191" s="41" t="s">
        <v>26</v>
      </c>
      <c r="B191" s="51" t="s">
        <v>194</v>
      </c>
      <c r="C191" s="52">
        <v>0.3</v>
      </c>
      <c r="D191" s="53"/>
      <c r="E191" s="53"/>
      <c r="F191" s="45">
        <v>110</v>
      </c>
      <c r="G191" s="45"/>
      <c r="H191" s="45"/>
      <c r="I191" s="45"/>
      <c r="J191" s="45">
        <f t="shared" si="77"/>
        <v>110</v>
      </c>
      <c r="K191" s="45"/>
      <c r="L191" s="45">
        <v>110</v>
      </c>
      <c r="M191" s="45">
        <f t="shared" si="78"/>
        <v>77</v>
      </c>
      <c r="N191" s="45">
        <f t="shared" si="75"/>
        <v>27.5</v>
      </c>
      <c r="O191" s="45"/>
      <c r="P191" s="48">
        <f t="shared" si="76"/>
        <v>5.5</v>
      </c>
    </row>
    <row r="192" spans="1:17" x14ac:dyDescent="0.25">
      <c r="A192" s="26">
        <v>4</v>
      </c>
      <c r="B192" s="27" t="s">
        <v>46</v>
      </c>
      <c r="C192" s="52"/>
      <c r="D192" s="29"/>
      <c r="E192" s="29"/>
      <c r="F192" s="30">
        <f>F193+F194</f>
        <v>1830</v>
      </c>
      <c r="G192" s="30">
        <v>0</v>
      </c>
      <c r="H192" s="30">
        <v>0</v>
      </c>
      <c r="I192" s="30">
        <f>I193+I194</f>
        <v>1830</v>
      </c>
      <c r="J192" s="30">
        <v>0</v>
      </c>
      <c r="K192" s="30">
        <v>0</v>
      </c>
      <c r="L192" s="30">
        <f>L193+L194</f>
        <v>1830</v>
      </c>
      <c r="M192" s="30">
        <f>M193+M194</f>
        <v>1281</v>
      </c>
      <c r="N192" s="30">
        <f>N193+N194</f>
        <v>457.5</v>
      </c>
      <c r="O192" s="30">
        <v>0</v>
      </c>
      <c r="P192" s="31">
        <f>P193+P194</f>
        <v>91.5</v>
      </c>
    </row>
    <row r="193" spans="1:20" ht="31.5" x14ac:dyDescent="0.25">
      <c r="A193" s="41">
        <v>1</v>
      </c>
      <c r="B193" s="51" t="s">
        <v>195</v>
      </c>
      <c r="C193" s="52">
        <v>1</v>
      </c>
      <c r="D193" s="53"/>
      <c r="E193" s="53"/>
      <c r="F193" s="45">
        <v>1100</v>
      </c>
      <c r="G193" s="45"/>
      <c r="H193" s="45"/>
      <c r="I193" s="45">
        <f>L193</f>
        <v>1100</v>
      </c>
      <c r="J193" s="45"/>
      <c r="K193" s="45"/>
      <c r="L193" s="45">
        <v>1100</v>
      </c>
      <c r="M193" s="45">
        <f>L193*70%</f>
        <v>770</v>
      </c>
      <c r="N193" s="45">
        <f>L193*25%</f>
        <v>275</v>
      </c>
      <c r="O193" s="45"/>
      <c r="P193" s="48">
        <f>L193*5%</f>
        <v>55</v>
      </c>
    </row>
    <row r="194" spans="1:20" ht="63" x14ac:dyDescent="0.25">
      <c r="A194" s="41">
        <v>2</v>
      </c>
      <c r="B194" s="51" t="s">
        <v>196</v>
      </c>
      <c r="C194" s="52">
        <v>2</v>
      </c>
      <c r="D194" s="53"/>
      <c r="E194" s="53"/>
      <c r="F194" s="45">
        <v>730</v>
      </c>
      <c r="G194" s="45"/>
      <c r="H194" s="45"/>
      <c r="I194" s="45">
        <f>L194</f>
        <v>730</v>
      </c>
      <c r="J194" s="45"/>
      <c r="K194" s="45"/>
      <c r="L194" s="45">
        <v>730</v>
      </c>
      <c r="M194" s="45">
        <f>L194*0.7</f>
        <v>510.99999999999994</v>
      </c>
      <c r="N194" s="45">
        <f>L194*25%</f>
        <v>182.5</v>
      </c>
      <c r="O194" s="45"/>
      <c r="P194" s="48">
        <f>L194*5%</f>
        <v>36.5</v>
      </c>
    </row>
    <row r="195" spans="1:20" x14ac:dyDescent="0.25">
      <c r="A195" s="26">
        <v>5</v>
      </c>
      <c r="B195" s="93" t="s">
        <v>36</v>
      </c>
      <c r="C195" s="52">
        <v>1</v>
      </c>
      <c r="D195" s="53" t="s">
        <v>197</v>
      </c>
      <c r="E195" s="29"/>
      <c r="F195" s="30">
        <v>1000</v>
      </c>
      <c r="G195" s="30">
        <f>G196+G198</f>
        <v>0</v>
      </c>
      <c r="H195" s="30">
        <f>H196+H198</f>
        <v>0</v>
      </c>
      <c r="I195" s="30">
        <v>0</v>
      </c>
      <c r="J195" s="30">
        <f>J196+J198</f>
        <v>0</v>
      </c>
      <c r="K195" s="30">
        <v>1000</v>
      </c>
      <c r="L195" s="30">
        <v>1000</v>
      </c>
      <c r="M195" s="30">
        <f>L195*0.7</f>
        <v>700</v>
      </c>
      <c r="N195" s="30">
        <f>L195*0.25</f>
        <v>250</v>
      </c>
      <c r="O195" s="30">
        <f>L195*0.05</f>
        <v>50</v>
      </c>
      <c r="P195" s="31">
        <f>P196+P198</f>
        <v>0</v>
      </c>
    </row>
    <row r="196" spans="1:20" ht="31.5" x14ac:dyDescent="0.25">
      <c r="A196" s="41"/>
      <c r="B196" s="94" t="s">
        <v>198</v>
      </c>
      <c r="C196" s="52">
        <v>1</v>
      </c>
      <c r="D196" s="53"/>
      <c r="E196" s="53"/>
      <c r="F196" s="45">
        <f>F195</f>
        <v>1000</v>
      </c>
      <c r="G196" s="45"/>
      <c r="H196" s="45"/>
      <c r="I196" s="45"/>
      <c r="J196" s="45"/>
      <c r="K196" s="45">
        <f>K195</f>
        <v>1000</v>
      </c>
      <c r="L196" s="45">
        <f>L195</f>
        <v>1000</v>
      </c>
      <c r="M196" s="45">
        <f>L196*70%</f>
        <v>700</v>
      </c>
      <c r="N196" s="45">
        <f>L196*25%</f>
        <v>250</v>
      </c>
      <c r="O196" s="45">
        <f>L196*5%</f>
        <v>50</v>
      </c>
      <c r="P196" s="48">
        <v>0</v>
      </c>
    </row>
    <row r="197" spans="1:20" x14ac:dyDescent="0.25">
      <c r="A197" s="26">
        <v>6</v>
      </c>
      <c r="B197" s="93" t="s">
        <v>199</v>
      </c>
      <c r="C197" s="52"/>
      <c r="D197" s="29"/>
      <c r="E197" s="29"/>
      <c r="F197" s="30">
        <v>950</v>
      </c>
      <c r="G197" s="30">
        <v>0</v>
      </c>
      <c r="H197" s="30">
        <v>0</v>
      </c>
      <c r="I197" s="30">
        <v>950</v>
      </c>
      <c r="J197" s="30">
        <v>0</v>
      </c>
      <c r="K197" s="30">
        <v>0</v>
      </c>
      <c r="L197" s="30">
        <f>L198</f>
        <v>950</v>
      </c>
      <c r="M197" s="30">
        <f>M198</f>
        <v>665</v>
      </c>
      <c r="N197" s="30">
        <f>N198</f>
        <v>237.5</v>
      </c>
      <c r="O197" s="30">
        <f>O198</f>
        <v>47.5</v>
      </c>
      <c r="P197" s="31">
        <v>0</v>
      </c>
    </row>
    <row r="198" spans="1:20" ht="31.5" x14ac:dyDescent="0.25">
      <c r="A198" s="41"/>
      <c r="B198" s="51" t="s">
        <v>200</v>
      </c>
      <c r="C198" s="52">
        <v>1</v>
      </c>
      <c r="D198" s="53"/>
      <c r="E198" s="29"/>
      <c r="F198" s="30">
        <v>950</v>
      </c>
      <c r="G198" s="45"/>
      <c r="H198" s="45"/>
      <c r="I198" s="45">
        <f>L198</f>
        <v>950</v>
      </c>
      <c r="J198" s="45"/>
      <c r="K198" s="45"/>
      <c r="L198" s="45">
        <v>950</v>
      </c>
      <c r="M198" s="45">
        <f>L198*70%</f>
        <v>665</v>
      </c>
      <c r="N198" s="45">
        <f>L198*25%</f>
        <v>237.5</v>
      </c>
      <c r="O198" s="45">
        <f>L198*5%</f>
        <v>47.5</v>
      </c>
      <c r="P198" s="48"/>
    </row>
    <row r="199" spans="1:20" x14ac:dyDescent="0.25">
      <c r="A199" s="61"/>
      <c r="B199" s="62"/>
      <c r="C199" s="63"/>
      <c r="D199" s="62"/>
      <c r="E199" s="80"/>
      <c r="F199" s="60">
        <f>L200-F200</f>
        <v>0</v>
      </c>
      <c r="G199" s="46"/>
      <c r="H199" s="46"/>
      <c r="I199" s="60"/>
      <c r="J199" s="60"/>
      <c r="K199" s="60"/>
      <c r="L199" s="60"/>
      <c r="M199" s="60"/>
      <c r="N199" s="60"/>
      <c r="O199" s="60"/>
      <c r="P199" s="64"/>
    </row>
    <row r="200" spans="1:20" x14ac:dyDescent="0.25">
      <c r="A200" s="19" t="s">
        <v>201</v>
      </c>
      <c r="B200" s="20" t="s">
        <v>202</v>
      </c>
      <c r="C200" s="21"/>
      <c r="D200" s="22"/>
      <c r="E200" s="22"/>
      <c r="F200" s="23">
        <f t="shared" ref="F200:P200" si="79">F201+F220+F224+F228+F231</f>
        <v>10845</v>
      </c>
      <c r="G200" s="23">
        <f t="shared" si="79"/>
        <v>0</v>
      </c>
      <c r="H200" s="23">
        <f t="shared" si="79"/>
        <v>0</v>
      </c>
      <c r="I200" s="23">
        <f t="shared" si="79"/>
        <v>3000</v>
      </c>
      <c r="J200" s="23">
        <f t="shared" si="79"/>
        <v>5160</v>
      </c>
      <c r="K200" s="23">
        <f t="shared" si="79"/>
        <v>2685</v>
      </c>
      <c r="L200" s="23">
        <f t="shared" si="79"/>
        <v>10845</v>
      </c>
      <c r="M200" s="23">
        <f t="shared" si="79"/>
        <v>6321</v>
      </c>
      <c r="N200" s="23">
        <f t="shared" si="79"/>
        <v>4193.5</v>
      </c>
      <c r="O200" s="23">
        <f t="shared" si="79"/>
        <v>152.5</v>
      </c>
      <c r="P200" s="25">
        <f t="shared" si="79"/>
        <v>178</v>
      </c>
    </row>
    <row r="201" spans="1:20" x14ac:dyDescent="0.25">
      <c r="A201" s="26">
        <v>1</v>
      </c>
      <c r="B201" s="27" t="s">
        <v>203</v>
      </c>
      <c r="C201" s="28"/>
      <c r="D201" s="29"/>
      <c r="E201" s="29"/>
      <c r="F201" s="30">
        <f t="shared" ref="F201:K201" si="80">F202+F206</f>
        <v>4235</v>
      </c>
      <c r="G201" s="30">
        <f t="shared" si="80"/>
        <v>0</v>
      </c>
      <c r="H201" s="30">
        <f t="shared" si="80"/>
        <v>0</v>
      </c>
      <c r="I201" s="30">
        <f t="shared" si="80"/>
        <v>0</v>
      </c>
      <c r="J201" s="30">
        <f t="shared" si="80"/>
        <v>2750</v>
      </c>
      <c r="K201" s="30">
        <f t="shared" si="80"/>
        <v>1485</v>
      </c>
      <c r="L201" s="30">
        <f>L202+L206</f>
        <v>4235</v>
      </c>
      <c r="M201" s="30">
        <f>M202+M206</f>
        <v>1694</v>
      </c>
      <c r="N201" s="30">
        <f>N202+N206</f>
        <v>2541</v>
      </c>
      <c r="O201" s="30">
        <f>O202+O206</f>
        <v>0</v>
      </c>
      <c r="P201" s="31">
        <f>P202+P206</f>
        <v>0</v>
      </c>
    </row>
    <row r="202" spans="1:20" x14ac:dyDescent="0.25">
      <c r="A202" s="41" t="s">
        <v>117</v>
      </c>
      <c r="B202" s="42" t="s">
        <v>204</v>
      </c>
      <c r="C202" s="52"/>
      <c r="D202" s="53"/>
      <c r="E202" s="53"/>
      <c r="F202" s="36">
        <f>F203+F204+F205</f>
        <v>2485</v>
      </c>
      <c r="G202" s="36">
        <f t="shared" ref="G202:L202" si="81">G203+G204+G205</f>
        <v>0</v>
      </c>
      <c r="H202" s="36">
        <f t="shared" si="81"/>
        <v>0</v>
      </c>
      <c r="I202" s="36">
        <f t="shared" si="81"/>
        <v>0</v>
      </c>
      <c r="J202" s="36">
        <f t="shared" si="81"/>
        <v>1000</v>
      </c>
      <c r="K202" s="36">
        <f t="shared" si="81"/>
        <v>1485</v>
      </c>
      <c r="L202" s="36">
        <f t="shared" si="81"/>
        <v>2485</v>
      </c>
      <c r="M202" s="36">
        <f>M203+M204+M205</f>
        <v>994</v>
      </c>
      <c r="N202" s="36">
        <f>N203+N204+N205</f>
        <v>1491</v>
      </c>
      <c r="O202" s="36">
        <f>O203+O204+O205</f>
        <v>0</v>
      </c>
      <c r="P202" s="38">
        <f>P203+P204+P205</f>
        <v>0</v>
      </c>
    </row>
    <row r="203" spans="1:20" ht="47.25" x14ac:dyDescent="0.25">
      <c r="A203" s="41"/>
      <c r="B203" s="51" t="s">
        <v>205</v>
      </c>
      <c r="C203" s="52">
        <v>1.2</v>
      </c>
      <c r="D203" s="53" t="s">
        <v>25</v>
      </c>
      <c r="E203" s="53" t="s">
        <v>150</v>
      </c>
      <c r="F203" s="45">
        <f>J203</f>
        <v>1000</v>
      </c>
      <c r="G203" s="45"/>
      <c r="H203" s="45"/>
      <c r="I203" s="45"/>
      <c r="J203" s="45">
        <f>L203</f>
        <v>1000</v>
      </c>
      <c r="K203" s="45"/>
      <c r="L203" s="45">
        <v>1000</v>
      </c>
      <c r="M203" s="45">
        <f>L203*40%</f>
        <v>400</v>
      </c>
      <c r="N203" s="45">
        <f>L203*60%</f>
        <v>600</v>
      </c>
      <c r="O203" s="45"/>
      <c r="P203" s="48"/>
    </row>
    <row r="204" spans="1:20" ht="47.25" x14ac:dyDescent="0.25">
      <c r="A204" s="41"/>
      <c r="B204" s="51" t="s">
        <v>206</v>
      </c>
      <c r="C204" s="52">
        <v>0.7</v>
      </c>
      <c r="D204" s="53" t="s">
        <v>25</v>
      </c>
      <c r="E204" s="53" t="s">
        <v>150</v>
      </c>
      <c r="F204" s="45">
        <f>K204</f>
        <v>525</v>
      </c>
      <c r="G204" s="45"/>
      <c r="H204" s="45"/>
      <c r="I204" s="45"/>
      <c r="J204" s="45"/>
      <c r="K204" s="45">
        <f>L204</f>
        <v>525</v>
      </c>
      <c r="L204" s="45">
        <v>525</v>
      </c>
      <c r="M204" s="45">
        <f>L204*40%</f>
        <v>210</v>
      </c>
      <c r="N204" s="45">
        <f>L204*60%</f>
        <v>315</v>
      </c>
      <c r="O204" s="45"/>
      <c r="P204" s="48"/>
    </row>
    <row r="205" spans="1:20" s="120" customFormat="1" ht="47.25" x14ac:dyDescent="0.25">
      <c r="A205" s="115"/>
      <c r="B205" s="249" t="s">
        <v>207</v>
      </c>
      <c r="C205" s="250">
        <v>0.6</v>
      </c>
      <c r="D205" s="117" t="s">
        <v>25</v>
      </c>
      <c r="E205" s="238" t="s">
        <v>468</v>
      </c>
      <c r="F205" s="118">
        <f>K205</f>
        <v>960</v>
      </c>
      <c r="G205" s="118"/>
      <c r="H205" s="118"/>
      <c r="I205" s="118"/>
      <c r="J205" s="118"/>
      <c r="K205" s="118">
        <f>L205</f>
        <v>960</v>
      </c>
      <c r="L205" s="118">
        <v>960</v>
      </c>
      <c r="M205" s="118">
        <f>L205*0.4</f>
        <v>384</v>
      </c>
      <c r="N205" s="118">
        <f>L205*0.6</f>
        <v>576</v>
      </c>
      <c r="O205" s="118"/>
      <c r="P205" s="119"/>
      <c r="Q205" s="103"/>
      <c r="R205" s="241"/>
      <c r="S205" s="241"/>
      <c r="T205" s="241"/>
    </row>
    <row r="206" spans="1:20" ht="31.5" x14ac:dyDescent="0.25">
      <c r="A206" s="41" t="s">
        <v>117</v>
      </c>
      <c r="B206" s="42" t="s">
        <v>208</v>
      </c>
      <c r="C206" s="52">
        <f>SUM(C207:C216)</f>
        <v>1.61</v>
      </c>
      <c r="D206" s="53" t="s">
        <v>25</v>
      </c>
      <c r="E206" s="53"/>
      <c r="F206" s="36">
        <f>SUM(F207:F218)</f>
        <v>1750</v>
      </c>
      <c r="G206" s="36"/>
      <c r="H206" s="36"/>
      <c r="I206" s="36">
        <f t="shared" ref="I206:N206" si="82">SUM(I207:I218)</f>
        <v>0</v>
      </c>
      <c r="J206" s="36">
        <f t="shared" si="82"/>
        <v>1750</v>
      </c>
      <c r="K206" s="36">
        <f t="shared" si="82"/>
        <v>0</v>
      </c>
      <c r="L206" s="36">
        <f t="shared" si="82"/>
        <v>1750</v>
      </c>
      <c r="M206" s="36">
        <f t="shared" si="82"/>
        <v>700</v>
      </c>
      <c r="N206" s="36">
        <f t="shared" si="82"/>
        <v>1050</v>
      </c>
      <c r="O206" s="36"/>
      <c r="P206" s="38"/>
    </row>
    <row r="207" spans="1:20" s="120" customFormat="1" ht="47.25" x14ac:dyDescent="0.25">
      <c r="A207" s="115"/>
      <c r="B207" s="256" t="s">
        <v>209</v>
      </c>
      <c r="C207" s="116">
        <v>0.45</v>
      </c>
      <c r="D207" s="117" t="s">
        <v>25</v>
      </c>
      <c r="E207" s="238" t="s">
        <v>468</v>
      </c>
      <c r="F207" s="118">
        <v>450</v>
      </c>
      <c r="G207" s="118"/>
      <c r="H207" s="118"/>
      <c r="I207" s="118"/>
      <c r="J207" s="118">
        <v>450</v>
      </c>
      <c r="K207" s="118"/>
      <c r="L207" s="118">
        <v>450</v>
      </c>
      <c r="M207" s="118">
        <f t="shared" ref="M207:M218" si="83">L207*40%</f>
        <v>180</v>
      </c>
      <c r="N207" s="118">
        <f t="shared" ref="N207:N218" si="84">L207*60%</f>
        <v>270</v>
      </c>
      <c r="O207" s="118"/>
      <c r="P207" s="119"/>
      <c r="Q207" s="103"/>
      <c r="R207" s="241"/>
      <c r="S207" s="241"/>
      <c r="T207" s="241"/>
    </row>
    <row r="208" spans="1:20" s="120" customFormat="1" ht="47.25" x14ac:dyDescent="0.25">
      <c r="A208" s="115"/>
      <c r="B208" s="256" t="s">
        <v>210</v>
      </c>
      <c r="C208" s="116">
        <v>0.1</v>
      </c>
      <c r="D208" s="117" t="s">
        <v>25</v>
      </c>
      <c r="E208" s="238" t="s">
        <v>468</v>
      </c>
      <c r="F208" s="118">
        <v>100</v>
      </c>
      <c r="G208" s="118"/>
      <c r="H208" s="118"/>
      <c r="I208" s="118"/>
      <c r="J208" s="118">
        <v>100</v>
      </c>
      <c r="K208" s="118"/>
      <c r="L208" s="118">
        <v>100</v>
      </c>
      <c r="M208" s="118">
        <f t="shared" si="83"/>
        <v>40</v>
      </c>
      <c r="N208" s="118">
        <f t="shared" si="84"/>
        <v>60</v>
      </c>
      <c r="O208" s="118"/>
      <c r="P208" s="119"/>
      <c r="Q208" s="103"/>
      <c r="R208" s="241"/>
      <c r="S208" s="241"/>
      <c r="T208" s="241"/>
    </row>
    <row r="209" spans="1:20" s="120" customFormat="1" ht="47.25" x14ac:dyDescent="0.25">
      <c r="A209" s="115"/>
      <c r="B209" s="256" t="s">
        <v>211</v>
      </c>
      <c r="C209" s="116">
        <v>0.08</v>
      </c>
      <c r="D209" s="117" t="s">
        <v>25</v>
      </c>
      <c r="E209" s="238" t="s">
        <v>468</v>
      </c>
      <c r="F209" s="118">
        <v>80</v>
      </c>
      <c r="G209" s="118"/>
      <c r="H209" s="118"/>
      <c r="I209" s="118"/>
      <c r="J209" s="118">
        <v>80</v>
      </c>
      <c r="K209" s="118"/>
      <c r="L209" s="118">
        <v>80</v>
      </c>
      <c r="M209" s="118">
        <f t="shared" si="83"/>
        <v>32</v>
      </c>
      <c r="N209" s="118">
        <f t="shared" si="84"/>
        <v>48</v>
      </c>
      <c r="O209" s="118"/>
      <c r="P209" s="119"/>
      <c r="Q209" s="103"/>
      <c r="R209" s="241"/>
      <c r="S209" s="241"/>
      <c r="T209" s="241"/>
    </row>
    <row r="210" spans="1:20" s="120" customFormat="1" ht="47.25" x14ac:dyDescent="0.25">
      <c r="A210" s="115"/>
      <c r="B210" s="256" t="s">
        <v>212</v>
      </c>
      <c r="C210" s="116">
        <v>0.2</v>
      </c>
      <c r="D210" s="117" t="s">
        <v>25</v>
      </c>
      <c r="E210" s="238" t="s">
        <v>468</v>
      </c>
      <c r="F210" s="118">
        <v>200</v>
      </c>
      <c r="G210" s="118"/>
      <c r="H210" s="118"/>
      <c r="I210" s="118"/>
      <c r="J210" s="118">
        <v>200</v>
      </c>
      <c r="K210" s="118"/>
      <c r="L210" s="118">
        <v>200</v>
      </c>
      <c r="M210" s="118">
        <f t="shared" si="83"/>
        <v>80</v>
      </c>
      <c r="N210" s="118">
        <f t="shared" si="84"/>
        <v>120</v>
      </c>
      <c r="O210" s="118"/>
      <c r="P210" s="119"/>
      <c r="Q210" s="103"/>
      <c r="R210" s="241"/>
      <c r="S210" s="241"/>
      <c r="T210" s="241"/>
    </row>
    <row r="211" spans="1:20" s="120" customFormat="1" ht="47.25" x14ac:dyDescent="0.25">
      <c r="A211" s="115"/>
      <c r="B211" s="256" t="s">
        <v>213</v>
      </c>
      <c r="C211" s="116">
        <v>0.1</v>
      </c>
      <c r="D211" s="117" t="s">
        <v>25</v>
      </c>
      <c r="E211" s="238" t="s">
        <v>468</v>
      </c>
      <c r="F211" s="118">
        <v>100</v>
      </c>
      <c r="G211" s="118"/>
      <c r="H211" s="118"/>
      <c r="I211" s="118"/>
      <c r="J211" s="118">
        <v>100</v>
      </c>
      <c r="K211" s="118"/>
      <c r="L211" s="118">
        <v>100</v>
      </c>
      <c r="M211" s="118">
        <f t="shared" si="83"/>
        <v>40</v>
      </c>
      <c r="N211" s="118">
        <f t="shared" si="84"/>
        <v>60</v>
      </c>
      <c r="O211" s="118"/>
      <c r="P211" s="119"/>
      <c r="Q211" s="103"/>
      <c r="R211" s="241"/>
      <c r="S211" s="241"/>
      <c r="T211" s="241"/>
    </row>
    <row r="212" spans="1:20" s="120" customFormat="1" ht="47.25" x14ac:dyDescent="0.25">
      <c r="A212" s="115"/>
      <c r="B212" s="256" t="s">
        <v>214</v>
      </c>
      <c r="C212" s="116">
        <v>0.15</v>
      </c>
      <c r="D212" s="117" t="s">
        <v>25</v>
      </c>
      <c r="E212" s="238" t="s">
        <v>468</v>
      </c>
      <c r="F212" s="118">
        <v>150</v>
      </c>
      <c r="G212" s="118"/>
      <c r="H212" s="118"/>
      <c r="I212" s="118"/>
      <c r="J212" s="118">
        <v>150</v>
      </c>
      <c r="K212" s="118"/>
      <c r="L212" s="118">
        <v>150</v>
      </c>
      <c r="M212" s="118">
        <f t="shared" si="83"/>
        <v>60</v>
      </c>
      <c r="N212" s="118">
        <f t="shared" si="84"/>
        <v>90</v>
      </c>
      <c r="O212" s="118"/>
      <c r="P212" s="119"/>
      <c r="Q212" s="103"/>
      <c r="R212" s="241"/>
      <c r="S212" s="241"/>
      <c r="T212" s="241"/>
    </row>
    <row r="213" spans="1:20" s="120" customFormat="1" ht="47.25" x14ac:dyDescent="0.25">
      <c r="A213" s="115"/>
      <c r="B213" s="256" t="s">
        <v>215</v>
      </c>
      <c r="C213" s="116">
        <v>7.0000000000000007E-2</v>
      </c>
      <c r="D213" s="117" t="s">
        <v>25</v>
      </c>
      <c r="E213" s="238" t="s">
        <v>468</v>
      </c>
      <c r="F213" s="118">
        <v>70</v>
      </c>
      <c r="G213" s="118"/>
      <c r="H213" s="118"/>
      <c r="I213" s="118"/>
      <c r="J213" s="118">
        <v>70</v>
      </c>
      <c r="K213" s="118"/>
      <c r="L213" s="118">
        <v>70</v>
      </c>
      <c r="M213" s="118">
        <f t="shared" si="83"/>
        <v>28</v>
      </c>
      <c r="N213" s="118">
        <f t="shared" si="84"/>
        <v>42</v>
      </c>
      <c r="O213" s="118"/>
      <c r="P213" s="119"/>
      <c r="Q213" s="103"/>
      <c r="R213" s="241"/>
      <c r="S213" s="241"/>
      <c r="T213" s="241"/>
    </row>
    <row r="214" spans="1:20" s="120" customFormat="1" ht="47.25" x14ac:dyDescent="0.25">
      <c r="A214" s="115"/>
      <c r="B214" s="256" t="s">
        <v>216</v>
      </c>
      <c r="C214" s="116">
        <v>0.2</v>
      </c>
      <c r="D214" s="117" t="s">
        <v>25</v>
      </c>
      <c r="E214" s="238" t="s">
        <v>468</v>
      </c>
      <c r="F214" s="118">
        <v>200</v>
      </c>
      <c r="G214" s="118"/>
      <c r="H214" s="118"/>
      <c r="I214" s="118"/>
      <c r="J214" s="118">
        <v>200</v>
      </c>
      <c r="K214" s="118"/>
      <c r="L214" s="118">
        <v>200</v>
      </c>
      <c r="M214" s="118">
        <f t="shared" si="83"/>
        <v>80</v>
      </c>
      <c r="N214" s="118">
        <f t="shared" si="84"/>
        <v>120</v>
      </c>
      <c r="O214" s="118"/>
      <c r="P214" s="119"/>
      <c r="Q214" s="103"/>
      <c r="R214" s="241"/>
      <c r="S214" s="241"/>
      <c r="T214" s="241"/>
    </row>
    <row r="215" spans="1:20" s="120" customFormat="1" ht="47.25" x14ac:dyDescent="0.25">
      <c r="A215" s="115"/>
      <c r="B215" s="256" t="s">
        <v>217</v>
      </c>
      <c r="C215" s="116">
        <v>0.2</v>
      </c>
      <c r="D215" s="117" t="s">
        <v>25</v>
      </c>
      <c r="E215" s="238" t="s">
        <v>468</v>
      </c>
      <c r="F215" s="118">
        <v>200</v>
      </c>
      <c r="G215" s="118"/>
      <c r="H215" s="118"/>
      <c r="I215" s="118"/>
      <c r="J215" s="118">
        <v>200</v>
      </c>
      <c r="K215" s="118"/>
      <c r="L215" s="118">
        <v>200</v>
      </c>
      <c r="M215" s="118">
        <f t="shared" si="83"/>
        <v>80</v>
      </c>
      <c r="N215" s="118">
        <f t="shared" si="84"/>
        <v>120</v>
      </c>
      <c r="O215" s="118"/>
      <c r="P215" s="119"/>
      <c r="Q215" s="103"/>
      <c r="R215" s="241"/>
      <c r="S215" s="241"/>
      <c r="T215" s="241"/>
    </row>
    <row r="216" spans="1:20" s="120" customFormat="1" ht="47.25" x14ac:dyDescent="0.25">
      <c r="A216" s="115"/>
      <c r="B216" s="256" t="s">
        <v>218</v>
      </c>
      <c r="C216" s="116">
        <v>0.06</v>
      </c>
      <c r="D216" s="117" t="s">
        <v>25</v>
      </c>
      <c r="E216" s="238" t="s">
        <v>468</v>
      </c>
      <c r="F216" s="118">
        <v>60</v>
      </c>
      <c r="G216" s="118"/>
      <c r="H216" s="118"/>
      <c r="I216" s="118"/>
      <c r="J216" s="118">
        <v>60</v>
      </c>
      <c r="K216" s="118"/>
      <c r="L216" s="118">
        <v>60</v>
      </c>
      <c r="M216" s="118">
        <f t="shared" si="83"/>
        <v>24</v>
      </c>
      <c r="N216" s="118">
        <f t="shared" si="84"/>
        <v>36</v>
      </c>
      <c r="O216" s="118"/>
      <c r="P216" s="119"/>
      <c r="Q216" s="103"/>
      <c r="R216" s="241"/>
      <c r="S216" s="241"/>
      <c r="T216" s="241"/>
    </row>
    <row r="217" spans="1:20" s="120" customFormat="1" ht="47.25" x14ac:dyDescent="0.25">
      <c r="A217" s="115"/>
      <c r="B217" s="121" t="s">
        <v>252</v>
      </c>
      <c r="C217" s="116">
        <v>0.04</v>
      </c>
      <c r="D217" s="117" t="s">
        <v>25</v>
      </c>
      <c r="E217" s="238" t="s">
        <v>468</v>
      </c>
      <c r="F217" s="118">
        <v>40</v>
      </c>
      <c r="G217" s="118"/>
      <c r="H217" s="118"/>
      <c r="I217" s="118"/>
      <c r="J217" s="118">
        <v>40</v>
      </c>
      <c r="K217" s="118"/>
      <c r="L217" s="118">
        <v>40</v>
      </c>
      <c r="M217" s="118">
        <f t="shared" si="83"/>
        <v>16</v>
      </c>
      <c r="N217" s="118">
        <f t="shared" si="84"/>
        <v>24</v>
      </c>
      <c r="O217" s="118"/>
      <c r="P217" s="119"/>
      <c r="Q217" s="18"/>
    </row>
    <row r="218" spans="1:20" s="120" customFormat="1" ht="47.25" x14ac:dyDescent="0.25">
      <c r="A218" s="115"/>
      <c r="B218" s="121" t="s">
        <v>253</v>
      </c>
      <c r="C218" s="116">
        <v>0.1</v>
      </c>
      <c r="D218" s="117" t="s">
        <v>25</v>
      </c>
      <c r="E218" s="238" t="s">
        <v>468</v>
      </c>
      <c r="F218" s="118">
        <v>100</v>
      </c>
      <c r="G218" s="118"/>
      <c r="H218" s="118"/>
      <c r="I218" s="118"/>
      <c r="J218" s="118">
        <v>100</v>
      </c>
      <c r="K218" s="118"/>
      <c r="L218" s="118">
        <v>100</v>
      </c>
      <c r="M218" s="118">
        <f t="shared" si="83"/>
        <v>40</v>
      </c>
      <c r="N218" s="118">
        <f t="shared" si="84"/>
        <v>60</v>
      </c>
      <c r="O218" s="118"/>
      <c r="P218" s="119"/>
      <c r="Q218" s="18"/>
    </row>
    <row r="219" spans="1:20" x14ac:dyDescent="0.25">
      <c r="A219" s="41"/>
      <c r="B219" s="62"/>
      <c r="C219" s="79"/>
      <c r="D219" s="53"/>
      <c r="E219" s="53"/>
      <c r="F219" s="45"/>
      <c r="G219" s="45"/>
      <c r="H219" s="45"/>
      <c r="I219" s="45"/>
      <c r="J219" s="45"/>
      <c r="K219" s="45"/>
      <c r="L219" s="45"/>
      <c r="M219" s="45"/>
      <c r="N219" s="45"/>
      <c r="O219" s="45"/>
      <c r="P219" s="48"/>
    </row>
    <row r="220" spans="1:20" x14ac:dyDescent="0.25">
      <c r="A220" s="26">
        <v>2</v>
      </c>
      <c r="B220" s="27" t="s">
        <v>28</v>
      </c>
      <c r="C220" s="28"/>
      <c r="D220" s="29"/>
      <c r="E220" s="29"/>
      <c r="F220" s="30">
        <f t="shared" ref="F220:P220" si="85">SUM(F221:F223)</f>
        <v>1410</v>
      </c>
      <c r="G220" s="30">
        <f t="shared" si="85"/>
        <v>0</v>
      </c>
      <c r="H220" s="30">
        <f t="shared" si="85"/>
        <v>0</v>
      </c>
      <c r="I220" s="30">
        <f t="shared" si="85"/>
        <v>0</v>
      </c>
      <c r="J220" s="30">
        <f t="shared" si="85"/>
        <v>1410</v>
      </c>
      <c r="K220" s="30">
        <f t="shared" si="85"/>
        <v>0</v>
      </c>
      <c r="L220" s="30">
        <f t="shared" si="85"/>
        <v>1410</v>
      </c>
      <c r="M220" s="30">
        <f t="shared" si="85"/>
        <v>987</v>
      </c>
      <c r="N220" s="30">
        <f t="shared" si="85"/>
        <v>352.5</v>
      </c>
      <c r="O220" s="30">
        <f t="shared" si="85"/>
        <v>0</v>
      </c>
      <c r="P220" s="31">
        <f t="shared" si="85"/>
        <v>70.5</v>
      </c>
    </row>
    <row r="221" spans="1:20" ht="31.5" x14ac:dyDescent="0.25">
      <c r="A221" s="41" t="s">
        <v>26</v>
      </c>
      <c r="B221" s="51" t="s">
        <v>219</v>
      </c>
      <c r="C221" s="52">
        <v>300</v>
      </c>
      <c r="D221" s="53" t="s">
        <v>45</v>
      </c>
      <c r="E221" s="53"/>
      <c r="F221" s="45">
        <v>360</v>
      </c>
      <c r="G221" s="45"/>
      <c r="H221" s="45"/>
      <c r="I221" s="45"/>
      <c r="J221" s="45">
        <f>F221</f>
        <v>360</v>
      </c>
      <c r="K221" s="45"/>
      <c r="L221" s="45">
        <v>360</v>
      </c>
      <c r="M221" s="45">
        <f>L221*70%</f>
        <v>251.99999999999997</v>
      </c>
      <c r="N221" s="45">
        <f>L221*25%</f>
        <v>90</v>
      </c>
      <c r="O221" s="45"/>
      <c r="P221" s="48">
        <f>L221*5%</f>
        <v>18</v>
      </c>
    </row>
    <row r="222" spans="1:20" ht="31.5" x14ac:dyDescent="0.25">
      <c r="A222" s="41" t="s">
        <v>117</v>
      </c>
      <c r="B222" s="51" t="s">
        <v>220</v>
      </c>
      <c r="C222" s="52">
        <v>500</v>
      </c>
      <c r="D222" s="53" t="s">
        <v>45</v>
      </c>
      <c r="E222" s="53"/>
      <c r="F222" s="45">
        <v>600</v>
      </c>
      <c r="G222" s="45"/>
      <c r="H222" s="45"/>
      <c r="I222" s="45"/>
      <c r="J222" s="45">
        <f>F222</f>
        <v>600</v>
      </c>
      <c r="K222" s="45"/>
      <c r="L222" s="45">
        <v>600</v>
      </c>
      <c r="M222" s="45">
        <f>L222*70%</f>
        <v>420</v>
      </c>
      <c r="N222" s="45">
        <f>L222*25%</f>
        <v>150</v>
      </c>
      <c r="O222" s="45"/>
      <c r="P222" s="48">
        <f>L222*5%</f>
        <v>30</v>
      </c>
    </row>
    <row r="223" spans="1:20" ht="31.5" x14ac:dyDescent="0.25">
      <c r="A223" s="41" t="s">
        <v>117</v>
      </c>
      <c r="B223" s="51" t="s">
        <v>221</v>
      </c>
      <c r="C223" s="52">
        <v>300</v>
      </c>
      <c r="D223" s="53" t="s">
        <v>45</v>
      </c>
      <c r="E223" s="53"/>
      <c r="F223" s="45">
        <v>450</v>
      </c>
      <c r="G223" s="45"/>
      <c r="H223" s="45"/>
      <c r="I223" s="45"/>
      <c r="J223" s="45">
        <f>L223</f>
        <v>450</v>
      </c>
      <c r="K223" s="45"/>
      <c r="L223" s="45">
        <v>450</v>
      </c>
      <c r="M223" s="45">
        <f>L223*70%</f>
        <v>315</v>
      </c>
      <c r="N223" s="45">
        <f>L223*25%</f>
        <v>112.5</v>
      </c>
      <c r="O223" s="45"/>
      <c r="P223" s="48">
        <f>L223*5%</f>
        <v>22.5</v>
      </c>
    </row>
    <row r="224" spans="1:20" x14ac:dyDescent="0.25">
      <c r="A224" s="26">
        <v>3</v>
      </c>
      <c r="B224" s="27" t="s">
        <v>65</v>
      </c>
      <c r="C224" s="28"/>
      <c r="D224" s="29"/>
      <c r="E224" s="29"/>
      <c r="F224" s="30">
        <f>SUM(F225:F227)</f>
        <v>1850</v>
      </c>
      <c r="G224" s="30">
        <f t="shared" ref="G224:P224" si="86">SUM(G225:G227)</f>
        <v>0</v>
      </c>
      <c r="H224" s="30">
        <f t="shared" si="86"/>
        <v>0</v>
      </c>
      <c r="I224" s="30">
        <f t="shared" si="86"/>
        <v>1850</v>
      </c>
      <c r="J224" s="30">
        <f t="shared" si="86"/>
        <v>0</v>
      </c>
      <c r="K224" s="30">
        <f t="shared" si="86"/>
        <v>0</v>
      </c>
      <c r="L224" s="30">
        <f t="shared" si="86"/>
        <v>1850</v>
      </c>
      <c r="M224" s="30">
        <f t="shared" si="86"/>
        <v>1295</v>
      </c>
      <c r="N224" s="30">
        <f t="shared" si="86"/>
        <v>462.5</v>
      </c>
      <c r="O224" s="30">
        <f t="shared" si="86"/>
        <v>0</v>
      </c>
      <c r="P224" s="31">
        <f t="shared" si="86"/>
        <v>92.5</v>
      </c>
    </row>
    <row r="225" spans="1:16" ht="47.25" x14ac:dyDescent="0.25">
      <c r="A225" s="41" t="s">
        <v>26</v>
      </c>
      <c r="B225" s="51" t="s">
        <v>222</v>
      </c>
      <c r="C225" s="52" t="s">
        <v>223</v>
      </c>
      <c r="D225" s="53" t="s">
        <v>224</v>
      </c>
      <c r="E225" s="53"/>
      <c r="F225" s="45">
        <v>540</v>
      </c>
      <c r="G225" s="45"/>
      <c r="H225" s="45"/>
      <c r="I225" s="45">
        <v>540</v>
      </c>
      <c r="J225" s="45"/>
      <c r="K225" s="45"/>
      <c r="L225" s="45">
        <v>540</v>
      </c>
      <c r="M225" s="45">
        <f>L225*70%</f>
        <v>378</v>
      </c>
      <c r="N225" s="45">
        <f>L225*25%</f>
        <v>135</v>
      </c>
      <c r="O225" s="45"/>
      <c r="P225" s="48">
        <f>L225*5%</f>
        <v>27</v>
      </c>
    </row>
    <row r="226" spans="1:16" ht="31.5" x14ac:dyDescent="0.25">
      <c r="A226" s="41" t="s">
        <v>117</v>
      </c>
      <c r="B226" s="51" t="s">
        <v>225</v>
      </c>
      <c r="C226" s="52">
        <v>32</v>
      </c>
      <c r="D226" s="53" t="s">
        <v>224</v>
      </c>
      <c r="E226" s="53"/>
      <c r="F226" s="45">
        <v>360</v>
      </c>
      <c r="G226" s="45"/>
      <c r="H226" s="45"/>
      <c r="I226" s="45">
        <v>360</v>
      </c>
      <c r="J226" s="45"/>
      <c r="K226" s="45"/>
      <c r="L226" s="45">
        <v>360</v>
      </c>
      <c r="M226" s="45">
        <f>L226*70%</f>
        <v>251.99999999999997</v>
      </c>
      <c r="N226" s="45">
        <f>L226*25%</f>
        <v>90</v>
      </c>
      <c r="O226" s="45"/>
      <c r="P226" s="48">
        <f>L226*5%</f>
        <v>18</v>
      </c>
    </row>
    <row r="227" spans="1:16" ht="31.5" x14ac:dyDescent="0.25">
      <c r="A227" s="41" t="s">
        <v>117</v>
      </c>
      <c r="B227" s="51" t="s">
        <v>226</v>
      </c>
      <c r="C227" s="52" t="s">
        <v>227</v>
      </c>
      <c r="D227" s="53" t="s">
        <v>224</v>
      </c>
      <c r="E227" s="53"/>
      <c r="F227" s="45">
        <v>950</v>
      </c>
      <c r="G227" s="45"/>
      <c r="H227" s="45"/>
      <c r="I227" s="45">
        <v>950</v>
      </c>
      <c r="J227" s="45"/>
      <c r="K227" s="45"/>
      <c r="L227" s="45">
        <v>950</v>
      </c>
      <c r="M227" s="45">
        <f>L227*70%</f>
        <v>665</v>
      </c>
      <c r="N227" s="45">
        <f>L227*25%</f>
        <v>237.5</v>
      </c>
      <c r="O227" s="45"/>
      <c r="P227" s="48">
        <f>L227*5%</f>
        <v>47.5</v>
      </c>
    </row>
    <row r="228" spans="1:16" x14ac:dyDescent="0.25">
      <c r="A228" s="26">
        <v>4</v>
      </c>
      <c r="B228" s="27" t="s">
        <v>36</v>
      </c>
      <c r="C228" s="28"/>
      <c r="D228" s="29"/>
      <c r="E228" s="29"/>
      <c r="F228" s="30">
        <f t="shared" ref="F228:P228" si="87">SUM(F229:F230)</f>
        <v>1450</v>
      </c>
      <c r="G228" s="30">
        <f t="shared" si="87"/>
        <v>0</v>
      </c>
      <c r="H228" s="30">
        <f t="shared" si="87"/>
        <v>0</v>
      </c>
      <c r="I228" s="30">
        <f t="shared" si="87"/>
        <v>1150</v>
      </c>
      <c r="J228" s="30">
        <f t="shared" si="87"/>
        <v>0</v>
      </c>
      <c r="K228" s="30">
        <f t="shared" si="87"/>
        <v>300</v>
      </c>
      <c r="L228" s="30">
        <f t="shared" si="87"/>
        <v>1450</v>
      </c>
      <c r="M228" s="30">
        <f t="shared" si="87"/>
        <v>1015</v>
      </c>
      <c r="N228" s="30">
        <f t="shared" si="87"/>
        <v>362.5</v>
      </c>
      <c r="O228" s="30">
        <f t="shared" si="87"/>
        <v>57.5</v>
      </c>
      <c r="P228" s="31">
        <f t="shared" si="87"/>
        <v>15</v>
      </c>
    </row>
    <row r="229" spans="1:16" ht="31.5" x14ac:dyDescent="0.25">
      <c r="A229" s="41" t="s">
        <v>117</v>
      </c>
      <c r="B229" s="51" t="s">
        <v>460</v>
      </c>
      <c r="C229" s="52">
        <v>1</v>
      </c>
      <c r="D229" s="53" t="s">
        <v>39</v>
      </c>
      <c r="E229" s="53"/>
      <c r="F229" s="45">
        <v>1150</v>
      </c>
      <c r="G229" s="45"/>
      <c r="H229" s="45"/>
      <c r="I229" s="45">
        <v>1150</v>
      </c>
      <c r="J229" s="45"/>
      <c r="K229" s="45"/>
      <c r="L229" s="45">
        <v>1150</v>
      </c>
      <c r="M229" s="45">
        <f>L229*70%</f>
        <v>805</v>
      </c>
      <c r="N229" s="45">
        <f>L229*25%</f>
        <v>287.5</v>
      </c>
      <c r="O229" s="45">
        <f>L229*5%</f>
        <v>57.5</v>
      </c>
      <c r="P229" s="48"/>
    </row>
    <row r="230" spans="1:16" ht="63" x14ac:dyDescent="0.25">
      <c r="A230" s="41" t="s">
        <v>117</v>
      </c>
      <c r="B230" s="51" t="s">
        <v>228</v>
      </c>
      <c r="C230" s="52">
        <v>1</v>
      </c>
      <c r="D230" s="53" t="s">
        <v>39</v>
      </c>
      <c r="E230" s="53"/>
      <c r="F230" s="45">
        <f>K230</f>
        <v>300</v>
      </c>
      <c r="G230" s="45"/>
      <c r="H230" s="45"/>
      <c r="I230" s="45"/>
      <c r="J230" s="45"/>
      <c r="K230" s="45">
        <f>L230</f>
        <v>300</v>
      </c>
      <c r="L230" s="45">
        <v>300</v>
      </c>
      <c r="M230" s="45">
        <f>L230*0.7</f>
        <v>210</v>
      </c>
      <c r="N230" s="45">
        <f>L230*25%</f>
        <v>75</v>
      </c>
      <c r="O230" s="45"/>
      <c r="P230" s="48">
        <f>L230*5%</f>
        <v>15</v>
      </c>
    </row>
    <row r="231" spans="1:16" x14ac:dyDescent="0.25">
      <c r="A231" s="26">
        <v>5</v>
      </c>
      <c r="B231" s="27" t="s">
        <v>63</v>
      </c>
      <c r="C231" s="28"/>
      <c r="D231" s="29"/>
      <c r="E231" s="29"/>
      <c r="F231" s="30">
        <f t="shared" ref="F231:P231" si="88">SUM(F232:F233)</f>
        <v>1900</v>
      </c>
      <c r="G231" s="30">
        <f t="shared" si="88"/>
        <v>0</v>
      </c>
      <c r="H231" s="30">
        <f t="shared" si="88"/>
        <v>0</v>
      </c>
      <c r="I231" s="30">
        <f t="shared" si="88"/>
        <v>0</v>
      </c>
      <c r="J231" s="30">
        <f t="shared" si="88"/>
        <v>1000</v>
      </c>
      <c r="K231" s="30">
        <f t="shared" si="88"/>
        <v>900</v>
      </c>
      <c r="L231" s="30">
        <f t="shared" si="88"/>
        <v>1900</v>
      </c>
      <c r="M231" s="30">
        <f t="shared" si="88"/>
        <v>1330</v>
      </c>
      <c r="N231" s="30">
        <f t="shared" si="88"/>
        <v>475</v>
      </c>
      <c r="O231" s="30">
        <f t="shared" si="88"/>
        <v>95</v>
      </c>
      <c r="P231" s="31">
        <f t="shared" si="88"/>
        <v>0</v>
      </c>
    </row>
    <row r="232" spans="1:16" ht="78.75" x14ac:dyDescent="0.25">
      <c r="A232" s="41" t="s">
        <v>117</v>
      </c>
      <c r="B232" s="51" t="s">
        <v>229</v>
      </c>
      <c r="C232" s="52">
        <v>1</v>
      </c>
      <c r="D232" s="53" t="s">
        <v>39</v>
      </c>
      <c r="E232" s="53"/>
      <c r="F232" s="45">
        <f>J232</f>
        <v>1000</v>
      </c>
      <c r="G232" s="45"/>
      <c r="H232" s="45"/>
      <c r="I232" s="45"/>
      <c r="J232" s="45">
        <f>L232</f>
        <v>1000</v>
      </c>
      <c r="K232" s="45"/>
      <c r="L232" s="45">
        <v>1000</v>
      </c>
      <c r="M232" s="45">
        <f>L232*70%</f>
        <v>700</v>
      </c>
      <c r="N232" s="45">
        <f>L232*25%</f>
        <v>250</v>
      </c>
      <c r="O232" s="45">
        <f>L232*5%</f>
        <v>50</v>
      </c>
      <c r="P232" s="48"/>
    </row>
    <row r="233" spans="1:16" ht="31.5" x14ac:dyDescent="0.25">
      <c r="A233" s="41" t="s">
        <v>117</v>
      </c>
      <c r="B233" s="51" t="s">
        <v>230</v>
      </c>
      <c r="C233" s="52">
        <v>1</v>
      </c>
      <c r="D233" s="53" t="s">
        <v>39</v>
      </c>
      <c r="E233" s="53"/>
      <c r="F233" s="45">
        <f>K233</f>
        <v>900</v>
      </c>
      <c r="G233" s="45"/>
      <c r="H233" s="45"/>
      <c r="I233" s="45"/>
      <c r="J233" s="45"/>
      <c r="K233" s="45">
        <f>L233</f>
        <v>900</v>
      </c>
      <c r="L233" s="45">
        <v>900</v>
      </c>
      <c r="M233" s="45">
        <f>L233*70%</f>
        <v>630</v>
      </c>
      <c r="N233" s="45">
        <f>L233*25%</f>
        <v>225</v>
      </c>
      <c r="O233" s="45">
        <f>L233*5%</f>
        <v>45</v>
      </c>
      <c r="P233" s="48"/>
    </row>
    <row r="234" spans="1:16" x14ac:dyDescent="0.25">
      <c r="A234" s="61"/>
      <c r="B234" s="62"/>
      <c r="C234" s="63"/>
      <c r="D234" s="62"/>
      <c r="E234" s="80"/>
      <c r="F234" s="60"/>
      <c r="G234" s="46"/>
      <c r="H234" s="46"/>
      <c r="I234" s="60"/>
      <c r="J234" s="60"/>
      <c r="K234" s="60"/>
      <c r="L234" s="60"/>
      <c r="M234" s="60"/>
      <c r="N234" s="60"/>
      <c r="O234" s="60"/>
      <c r="P234" s="64"/>
    </row>
    <row r="235" spans="1:16" x14ac:dyDescent="0.25">
      <c r="A235" s="19" t="s">
        <v>231</v>
      </c>
      <c r="B235" s="20" t="s">
        <v>232</v>
      </c>
      <c r="C235" s="21"/>
      <c r="D235" s="22"/>
      <c r="E235" s="22"/>
      <c r="F235" s="23">
        <f t="shared" ref="F235:P235" si="89">F236+F238+F246+F249+F255</f>
        <v>14470</v>
      </c>
      <c r="G235" s="23">
        <f t="shared" si="89"/>
        <v>0</v>
      </c>
      <c r="H235" s="23">
        <f t="shared" si="89"/>
        <v>0</v>
      </c>
      <c r="I235" s="23">
        <f t="shared" si="89"/>
        <v>11310</v>
      </c>
      <c r="J235" s="23">
        <f t="shared" si="89"/>
        <v>3160</v>
      </c>
      <c r="K235" s="23">
        <f t="shared" si="89"/>
        <v>0</v>
      </c>
      <c r="L235" s="23">
        <f t="shared" si="89"/>
        <v>14470</v>
      </c>
      <c r="M235" s="23">
        <f t="shared" si="89"/>
        <v>9931</v>
      </c>
      <c r="N235" s="23">
        <f t="shared" si="89"/>
        <v>3158</v>
      </c>
      <c r="O235" s="23">
        <f t="shared" si="89"/>
        <v>926.5</v>
      </c>
      <c r="P235" s="25">
        <f t="shared" si="89"/>
        <v>454.5</v>
      </c>
    </row>
    <row r="236" spans="1:16" x14ac:dyDescent="0.25">
      <c r="A236" s="26">
        <v>1</v>
      </c>
      <c r="B236" s="27" t="s">
        <v>22</v>
      </c>
      <c r="C236" s="28"/>
      <c r="D236" s="29"/>
      <c r="E236" s="29"/>
      <c r="F236" s="30">
        <f t="shared" ref="F236:P236" si="90">SUM(F237:F237)</f>
        <v>660</v>
      </c>
      <c r="G236" s="30">
        <f t="shared" si="90"/>
        <v>0</v>
      </c>
      <c r="H236" s="30">
        <f t="shared" si="90"/>
        <v>0</v>
      </c>
      <c r="I236" s="30">
        <f t="shared" si="90"/>
        <v>0</v>
      </c>
      <c r="J236" s="30">
        <f t="shared" si="90"/>
        <v>660</v>
      </c>
      <c r="K236" s="30">
        <f t="shared" si="90"/>
        <v>0</v>
      </c>
      <c r="L236" s="30">
        <f t="shared" si="90"/>
        <v>660</v>
      </c>
      <c r="M236" s="30">
        <f t="shared" si="90"/>
        <v>264</v>
      </c>
      <c r="N236" s="30">
        <f t="shared" si="90"/>
        <v>396</v>
      </c>
      <c r="O236" s="30">
        <f t="shared" si="90"/>
        <v>0</v>
      </c>
      <c r="P236" s="31">
        <f t="shared" si="90"/>
        <v>0</v>
      </c>
    </row>
    <row r="237" spans="1:16" ht="47.25" x14ac:dyDescent="0.25">
      <c r="A237" s="41" t="s">
        <v>26</v>
      </c>
      <c r="B237" s="51" t="s">
        <v>233</v>
      </c>
      <c r="C237" s="52">
        <v>90</v>
      </c>
      <c r="D237" s="53" t="s">
        <v>45</v>
      </c>
      <c r="E237" s="53"/>
      <c r="F237" s="45">
        <v>660</v>
      </c>
      <c r="G237" s="45"/>
      <c r="H237" s="45"/>
      <c r="I237" s="45"/>
      <c r="J237" s="45">
        <v>660</v>
      </c>
      <c r="K237" s="45"/>
      <c r="L237" s="45">
        <f>F237</f>
        <v>660</v>
      </c>
      <c r="M237" s="45">
        <f>L237*40%</f>
        <v>264</v>
      </c>
      <c r="N237" s="45">
        <f>L237*60%</f>
        <v>396</v>
      </c>
      <c r="O237" s="45"/>
      <c r="P237" s="48"/>
    </row>
    <row r="238" spans="1:16" x14ac:dyDescent="0.25">
      <c r="A238" s="26">
        <v>2</v>
      </c>
      <c r="B238" s="27" t="s">
        <v>65</v>
      </c>
      <c r="C238" s="28"/>
      <c r="D238" s="29"/>
      <c r="E238" s="29"/>
      <c r="F238" s="30">
        <f>SUM(F239:F244)</f>
        <v>5000</v>
      </c>
      <c r="G238" s="30">
        <f t="shared" ref="G238:P238" si="91">SUM(G239:G244)</f>
        <v>0</v>
      </c>
      <c r="H238" s="30">
        <f t="shared" si="91"/>
        <v>0</v>
      </c>
      <c r="I238" s="30">
        <f t="shared" si="91"/>
        <v>5000</v>
      </c>
      <c r="J238" s="30">
        <f t="shared" si="91"/>
        <v>0</v>
      </c>
      <c r="K238" s="30">
        <f t="shared" si="91"/>
        <v>0</v>
      </c>
      <c r="L238" s="30">
        <f t="shared" si="91"/>
        <v>5000</v>
      </c>
      <c r="M238" s="30">
        <f t="shared" si="91"/>
        <v>3500</v>
      </c>
      <c r="N238" s="30">
        <f t="shared" si="91"/>
        <v>1000</v>
      </c>
      <c r="O238" s="30">
        <f t="shared" si="91"/>
        <v>250</v>
      </c>
      <c r="P238" s="31">
        <f t="shared" si="91"/>
        <v>250</v>
      </c>
    </row>
    <row r="239" spans="1:16" ht="31.5" x14ac:dyDescent="0.25">
      <c r="A239" s="41" t="s">
        <v>26</v>
      </c>
      <c r="B239" s="51" t="s">
        <v>234</v>
      </c>
      <c r="C239" s="52">
        <v>1</v>
      </c>
      <c r="D239" s="53" t="s">
        <v>39</v>
      </c>
      <c r="E239" s="53"/>
      <c r="F239" s="45">
        <v>900</v>
      </c>
      <c r="G239" s="45"/>
      <c r="H239" s="45"/>
      <c r="I239" s="45">
        <f>F239</f>
        <v>900</v>
      </c>
      <c r="J239" s="45"/>
      <c r="K239" s="45"/>
      <c r="L239" s="45">
        <f t="shared" ref="L239:L244" si="92">F239</f>
        <v>900</v>
      </c>
      <c r="M239" s="45">
        <f t="shared" ref="M239:M244" si="93">F239*0.7</f>
        <v>630</v>
      </c>
      <c r="N239" s="45">
        <f t="shared" ref="N239:N244" si="94">F239*0.2</f>
        <v>180</v>
      </c>
      <c r="O239" s="45">
        <f t="shared" ref="O239:O244" si="95">F239*0.05</f>
        <v>45</v>
      </c>
      <c r="P239" s="48">
        <f t="shared" ref="P239:P244" si="96">F239*0.05</f>
        <v>45</v>
      </c>
    </row>
    <row r="240" spans="1:16" ht="31.5" x14ac:dyDescent="0.25">
      <c r="A240" s="41" t="s">
        <v>26</v>
      </c>
      <c r="B240" s="51" t="s">
        <v>235</v>
      </c>
      <c r="C240" s="52">
        <v>1</v>
      </c>
      <c r="D240" s="53" t="s">
        <v>39</v>
      </c>
      <c r="E240" s="53"/>
      <c r="F240" s="45">
        <v>900</v>
      </c>
      <c r="G240" s="45"/>
      <c r="H240" s="45"/>
      <c r="I240" s="45">
        <f>F240</f>
        <v>900</v>
      </c>
      <c r="J240" s="45"/>
      <c r="K240" s="45"/>
      <c r="L240" s="45">
        <f t="shared" si="92"/>
        <v>900</v>
      </c>
      <c r="M240" s="45">
        <f t="shared" si="93"/>
        <v>630</v>
      </c>
      <c r="N240" s="45">
        <f t="shared" si="94"/>
        <v>180</v>
      </c>
      <c r="O240" s="45">
        <f t="shared" si="95"/>
        <v>45</v>
      </c>
      <c r="P240" s="48">
        <f t="shared" si="96"/>
        <v>45</v>
      </c>
    </row>
    <row r="241" spans="1:16" ht="31.5" x14ac:dyDescent="0.25">
      <c r="A241" s="41" t="s">
        <v>26</v>
      </c>
      <c r="B241" s="51" t="s">
        <v>236</v>
      </c>
      <c r="C241" s="52">
        <v>1</v>
      </c>
      <c r="D241" s="53" t="s">
        <v>39</v>
      </c>
      <c r="E241" s="53"/>
      <c r="F241" s="45">
        <v>900</v>
      </c>
      <c r="G241" s="45"/>
      <c r="H241" s="45"/>
      <c r="I241" s="45">
        <f>F241</f>
        <v>900</v>
      </c>
      <c r="J241" s="45"/>
      <c r="K241" s="45"/>
      <c r="L241" s="45">
        <f t="shared" si="92"/>
        <v>900</v>
      </c>
      <c r="M241" s="45">
        <f t="shared" si="93"/>
        <v>630</v>
      </c>
      <c r="N241" s="45">
        <f t="shared" si="94"/>
        <v>180</v>
      </c>
      <c r="O241" s="45">
        <f t="shared" si="95"/>
        <v>45</v>
      </c>
      <c r="P241" s="48">
        <f t="shared" si="96"/>
        <v>45</v>
      </c>
    </row>
    <row r="242" spans="1:16" ht="31.5" x14ac:dyDescent="0.25">
      <c r="A242" s="41" t="s">
        <v>26</v>
      </c>
      <c r="B242" s="51" t="s">
        <v>237</v>
      </c>
      <c r="C242" s="52">
        <v>1</v>
      </c>
      <c r="D242" s="53" t="s">
        <v>39</v>
      </c>
      <c r="E242" s="53"/>
      <c r="F242" s="45">
        <v>900</v>
      </c>
      <c r="G242" s="45"/>
      <c r="H242" s="45"/>
      <c r="I242" s="45">
        <f>F242</f>
        <v>900</v>
      </c>
      <c r="J242" s="45"/>
      <c r="K242" s="45"/>
      <c r="L242" s="45">
        <f t="shared" si="92"/>
        <v>900</v>
      </c>
      <c r="M242" s="45">
        <f t="shared" si="93"/>
        <v>630</v>
      </c>
      <c r="N242" s="45">
        <f t="shared" si="94"/>
        <v>180</v>
      </c>
      <c r="O242" s="45">
        <f t="shared" si="95"/>
        <v>45</v>
      </c>
      <c r="P242" s="48">
        <f t="shared" si="96"/>
        <v>45</v>
      </c>
    </row>
    <row r="243" spans="1:16" ht="31.5" x14ac:dyDescent="0.25">
      <c r="A243" s="41" t="s">
        <v>26</v>
      </c>
      <c r="B243" s="51" t="s">
        <v>238</v>
      </c>
      <c r="C243" s="52">
        <v>1</v>
      </c>
      <c r="D243" s="53" t="s">
        <v>39</v>
      </c>
      <c r="E243" s="53"/>
      <c r="F243" s="45">
        <v>750</v>
      </c>
      <c r="G243" s="45"/>
      <c r="H243" s="45"/>
      <c r="I243" s="45">
        <v>750</v>
      </c>
      <c r="J243" s="45"/>
      <c r="K243" s="45"/>
      <c r="L243" s="45">
        <f t="shared" si="92"/>
        <v>750</v>
      </c>
      <c r="M243" s="45">
        <f t="shared" si="93"/>
        <v>525</v>
      </c>
      <c r="N243" s="45">
        <f t="shared" si="94"/>
        <v>150</v>
      </c>
      <c r="O243" s="45">
        <f t="shared" si="95"/>
        <v>37.5</v>
      </c>
      <c r="P243" s="48">
        <f t="shared" si="96"/>
        <v>37.5</v>
      </c>
    </row>
    <row r="244" spans="1:16" ht="31.5" x14ac:dyDescent="0.25">
      <c r="A244" s="41" t="s">
        <v>26</v>
      </c>
      <c r="B244" s="51" t="s">
        <v>239</v>
      </c>
      <c r="C244" s="52">
        <v>1</v>
      </c>
      <c r="D244" s="53" t="s">
        <v>39</v>
      </c>
      <c r="E244" s="53"/>
      <c r="F244" s="45">
        <v>650</v>
      </c>
      <c r="G244" s="45"/>
      <c r="H244" s="45"/>
      <c r="I244" s="45">
        <f>F244</f>
        <v>650</v>
      </c>
      <c r="J244" s="45"/>
      <c r="K244" s="45"/>
      <c r="L244" s="45">
        <f t="shared" si="92"/>
        <v>650</v>
      </c>
      <c r="M244" s="45">
        <f t="shared" si="93"/>
        <v>454.99999999999994</v>
      </c>
      <c r="N244" s="45">
        <f t="shared" si="94"/>
        <v>130</v>
      </c>
      <c r="O244" s="45">
        <f t="shared" si="95"/>
        <v>32.5</v>
      </c>
      <c r="P244" s="48">
        <f t="shared" si="96"/>
        <v>32.5</v>
      </c>
    </row>
    <row r="245" spans="1:16" x14ac:dyDescent="0.25">
      <c r="A245" s="41"/>
      <c r="B245" s="51"/>
      <c r="C245" s="52"/>
      <c r="D245" s="53"/>
      <c r="E245" s="53"/>
      <c r="F245" s="45"/>
      <c r="G245" s="45"/>
      <c r="H245" s="45"/>
      <c r="I245" s="45"/>
      <c r="J245" s="45"/>
      <c r="K245" s="45"/>
      <c r="L245" s="45"/>
      <c r="M245" s="45"/>
      <c r="N245" s="45"/>
      <c r="O245" s="45"/>
      <c r="P245" s="48"/>
    </row>
    <row r="246" spans="1:16" x14ac:dyDescent="0.25">
      <c r="A246" s="26">
        <v>3</v>
      </c>
      <c r="B246" s="27" t="s">
        <v>46</v>
      </c>
      <c r="C246" s="28"/>
      <c r="D246" s="29"/>
      <c r="E246" s="29"/>
      <c r="F246" s="30">
        <f>F247+F248</f>
        <v>1470</v>
      </c>
      <c r="G246" s="30">
        <f>SUM(G247:G257)</f>
        <v>0</v>
      </c>
      <c r="H246" s="30">
        <f>SUM(H247:H257)</f>
        <v>0</v>
      </c>
      <c r="I246" s="30">
        <f t="shared" ref="I246:P246" si="97">I247+I248</f>
        <v>1470</v>
      </c>
      <c r="J246" s="30">
        <f t="shared" si="97"/>
        <v>0</v>
      </c>
      <c r="K246" s="30">
        <f t="shared" si="97"/>
        <v>0</v>
      </c>
      <c r="L246" s="30">
        <f t="shared" si="97"/>
        <v>1470</v>
      </c>
      <c r="M246" s="30">
        <f t="shared" si="97"/>
        <v>1029</v>
      </c>
      <c r="N246" s="30">
        <f t="shared" si="97"/>
        <v>294</v>
      </c>
      <c r="O246" s="30">
        <f t="shared" si="97"/>
        <v>73.5</v>
      </c>
      <c r="P246" s="31">
        <f t="shared" si="97"/>
        <v>73.5</v>
      </c>
    </row>
    <row r="247" spans="1:16" ht="78.75" x14ac:dyDescent="0.25">
      <c r="A247" s="41" t="s">
        <v>26</v>
      </c>
      <c r="B247" s="51" t="s">
        <v>240</v>
      </c>
      <c r="C247" s="52">
        <v>1</v>
      </c>
      <c r="D247" s="53" t="s">
        <v>39</v>
      </c>
      <c r="E247" s="53"/>
      <c r="F247" s="45">
        <v>920</v>
      </c>
      <c r="G247" s="45"/>
      <c r="H247" s="45"/>
      <c r="I247" s="45">
        <f>F247</f>
        <v>920</v>
      </c>
      <c r="J247" s="45"/>
      <c r="K247" s="45"/>
      <c r="L247" s="45">
        <f>F247</f>
        <v>920</v>
      </c>
      <c r="M247" s="45">
        <f>F247*0.7</f>
        <v>644</v>
      </c>
      <c r="N247" s="45">
        <f>F247*0.2</f>
        <v>184</v>
      </c>
      <c r="O247" s="45">
        <f>F247*0.05</f>
        <v>46</v>
      </c>
      <c r="P247" s="48">
        <f>F247*0.05</f>
        <v>46</v>
      </c>
    </row>
    <row r="248" spans="1:16" ht="31.5" x14ac:dyDescent="0.25">
      <c r="A248" s="41" t="s">
        <v>26</v>
      </c>
      <c r="B248" s="51" t="s">
        <v>241</v>
      </c>
      <c r="C248" s="52">
        <v>1</v>
      </c>
      <c r="D248" s="53" t="s">
        <v>39</v>
      </c>
      <c r="E248" s="53"/>
      <c r="F248" s="45">
        <v>550</v>
      </c>
      <c r="G248" s="45"/>
      <c r="H248" s="45"/>
      <c r="I248" s="45">
        <v>550</v>
      </c>
      <c r="J248" s="45"/>
      <c r="K248" s="45"/>
      <c r="L248" s="45">
        <f>F248</f>
        <v>550</v>
      </c>
      <c r="M248" s="45">
        <f>F248*0.7</f>
        <v>385</v>
      </c>
      <c r="N248" s="45">
        <f>F248*0.2</f>
        <v>110</v>
      </c>
      <c r="O248" s="45">
        <f>F248*0.05</f>
        <v>27.5</v>
      </c>
      <c r="P248" s="48">
        <f>F248*0.05</f>
        <v>27.5</v>
      </c>
    </row>
    <row r="249" spans="1:16" x14ac:dyDescent="0.25">
      <c r="A249" s="26">
        <v>4</v>
      </c>
      <c r="B249" s="27" t="s">
        <v>36</v>
      </c>
      <c r="C249" s="28"/>
      <c r="D249" s="29"/>
      <c r="E249" s="29"/>
      <c r="F249" s="30">
        <f t="shared" ref="F249:P249" si="98">SUM(F250:F254)</f>
        <v>6440</v>
      </c>
      <c r="G249" s="30">
        <f t="shared" si="98"/>
        <v>0</v>
      </c>
      <c r="H249" s="30">
        <f t="shared" si="98"/>
        <v>0</v>
      </c>
      <c r="I249" s="30">
        <f t="shared" si="98"/>
        <v>3940</v>
      </c>
      <c r="J249" s="30">
        <f t="shared" si="98"/>
        <v>2500</v>
      </c>
      <c r="K249" s="30">
        <f t="shared" si="98"/>
        <v>0</v>
      </c>
      <c r="L249" s="30">
        <f t="shared" si="98"/>
        <v>6440</v>
      </c>
      <c r="M249" s="30">
        <f t="shared" si="98"/>
        <v>4508</v>
      </c>
      <c r="N249" s="30">
        <f t="shared" si="98"/>
        <v>1288</v>
      </c>
      <c r="O249" s="30">
        <f t="shared" si="98"/>
        <v>558</v>
      </c>
      <c r="P249" s="31">
        <f t="shared" si="98"/>
        <v>86</v>
      </c>
    </row>
    <row r="250" spans="1:16" ht="78.75" x14ac:dyDescent="0.25">
      <c r="A250" s="41" t="s">
        <v>26</v>
      </c>
      <c r="B250" s="51" t="s">
        <v>243</v>
      </c>
      <c r="C250" s="52">
        <v>1</v>
      </c>
      <c r="D250" s="53" t="s">
        <v>39</v>
      </c>
      <c r="E250" s="53"/>
      <c r="F250" s="45">
        <v>1120</v>
      </c>
      <c r="G250" s="45"/>
      <c r="H250" s="45"/>
      <c r="I250" s="45">
        <f>F250</f>
        <v>1120</v>
      </c>
      <c r="J250" s="45"/>
      <c r="K250" s="45"/>
      <c r="L250" s="45">
        <v>1120</v>
      </c>
      <c r="M250" s="45">
        <f>F250*0.7</f>
        <v>784</v>
      </c>
      <c r="N250" s="45">
        <f>F250*0.2</f>
        <v>224</v>
      </c>
      <c r="O250" s="45">
        <f>F250*0.05</f>
        <v>56</v>
      </c>
      <c r="P250" s="48">
        <f>F250*0.05</f>
        <v>56</v>
      </c>
    </row>
    <row r="251" spans="1:16" ht="31.5" x14ac:dyDescent="0.25">
      <c r="A251" s="41" t="s">
        <v>26</v>
      </c>
      <c r="B251" s="51" t="s">
        <v>244</v>
      </c>
      <c r="C251" s="52">
        <v>1</v>
      </c>
      <c r="D251" s="53" t="s">
        <v>39</v>
      </c>
      <c r="E251" s="53"/>
      <c r="F251" s="45">
        <v>600</v>
      </c>
      <c r="G251" s="45"/>
      <c r="H251" s="45"/>
      <c r="I251" s="45">
        <f>F251</f>
        <v>600</v>
      </c>
      <c r="J251" s="45"/>
      <c r="K251" s="45"/>
      <c r="L251" s="45">
        <v>600</v>
      </c>
      <c r="M251" s="45">
        <f>F251*0.7</f>
        <v>420</v>
      </c>
      <c r="N251" s="45">
        <f>F251*0.2</f>
        <v>120</v>
      </c>
      <c r="O251" s="45">
        <f>F251*0.05</f>
        <v>30</v>
      </c>
      <c r="P251" s="48">
        <f>L251*0.05</f>
        <v>30</v>
      </c>
    </row>
    <row r="252" spans="1:16" ht="31.5" x14ac:dyDescent="0.25">
      <c r="A252" s="41" t="s">
        <v>26</v>
      </c>
      <c r="B252" s="51" t="s">
        <v>245</v>
      </c>
      <c r="C252" s="52">
        <v>1</v>
      </c>
      <c r="D252" s="53" t="s">
        <v>39</v>
      </c>
      <c r="E252" s="53"/>
      <c r="F252" s="45">
        <v>1100</v>
      </c>
      <c r="G252" s="45"/>
      <c r="H252" s="45"/>
      <c r="I252" s="45">
        <v>1100</v>
      </c>
      <c r="J252" s="45"/>
      <c r="K252" s="45"/>
      <c r="L252" s="45">
        <v>1100</v>
      </c>
      <c r="M252" s="45">
        <f>F252*0.7</f>
        <v>770</v>
      </c>
      <c r="N252" s="45">
        <f>F252*0.2</f>
        <v>220</v>
      </c>
      <c r="O252" s="45">
        <f>F252*0.1</f>
        <v>110</v>
      </c>
      <c r="P252" s="48"/>
    </row>
    <row r="253" spans="1:16" ht="31.5" x14ac:dyDescent="0.25">
      <c r="A253" s="41" t="s">
        <v>26</v>
      </c>
      <c r="B253" s="51" t="s">
        <v>246</v>
      </c>
      <c r="C253" s="52">
        <v>1</v>
      </c>
      <c r="D253" s="53" t="s">
        <v>39</v>
      </c>
      <c r="E253" s="53"/>
      <c r="F253" s="45">
        <v>2500</v>
      </c>
      <c r="G253" s="45"/>
      <c r="H253" s="45"/>
      <c r="I253" s="45"/>
      <c r="J253" s="45">
        <v>2500</v>
      </c>
      <c r="K253" s="45"/>
      <c r="L253" s="45">
        <v>2500</v>
      </c>
      <c r="M253" s="45">
        <f>F253*0.7</f>
        <v>1750</v>
      </c>
      <c r="N253" s="45">
        <f>F253*0.2</f>
        <v>500</v>
      </c>
      <c r="O253" s="45">
        <f>F253*0.1</f>
        <v>250</v>
      </c>
      <c r="P253" s="48"/>
    </row>
    <row r="254" spans="1:16" x14ac:dyDescent="0.25">
      <c r="A254" s="41" t="s">
        <v>26</v>
      </c>
      <c r="B254" s="51" t="s">
        <v>247</v>
      </c>
      <c r="C254" s="52">
        <v>1</v>
      </c>
      <c r="D254" s="53" t="s">
        <v>39</v>
      </c>
      <c r="E254" s="53"/>
      <c r="F254" s="45">
        <v>1120</v>
      </c>
      <c r="G254" s="45"/>
      <c r="H254" s="45"/>
      <c r="I254" s="45">
        <v>1120</v>
      </c>
      <c r="J254" s="45"/>
      <c r="K254" s="45"/>
      <c r="L254" s="45">
        <v>1120</v>
      </c>
      <c r="M254" s="45">
        <f>F254*0.7</f>
        <v>784</v>
      </c>
      <c r="N254" s="45">
        <f>F254*0.2</f>
        <v>224</v>
      </c>
      <c r="O254" s="45">
        <f>F254*0.1</f>
        <v>112</v>
      </c>
      <c r="P254" s="48"/>
    </row>
    <row r="255" spans="1:16" x14ac:dyDescent="0.25">
      <c r="A255" s="26">
        <v>5</v>
      </c>
      <c r="B255" s="27" t="s">
        <v>63</v>
      </c>
      <c r="C255" s="28"/>
      <c r="D255" s="29"/>
      <c r="E255" s="29"/>
      <c r="F255" s="30">
        <f>F256+F257</f>
        <v>900</v>
      </c>
      <c r="G255" s="30">
        <f t="shared" ref="G255:H255" si="99">SUM(G256:G256)</f>
        <v>0</v>
      </c>
      <c r="H255" s="30">
        <f t="shared" si="99"/>
        <v>0</v>
      </c>
      <c r="I255" s="30">
        <f t="shared" ref="I255:P255" si="100">I256+I257</f>
        <v>900</v>
      </c>
      <c r="J255" s="30">
        <f t="shared" si="100"/>
        <v>0</v>
      </c>
      <c r="K255" s="30">
        <f t="shared" si="100"/>
        <v>0</v>
      </c>
      <c r="L255" s="30">
        <f t="shared" si="100"/>
        <v>900</v>
      </c>
      <c r="M255" s="30">
        <f t="shared" si="100"/>
        <v>630</v>
      </c>
      <c r="N255" s="30">
        <f t="shared" si="100"/>
        <v>180</v>
      </c>
      <c r="O255" s="30">
        <f t="shared" si="100"/>
        <v>45</v>
      </c>
      <c r="P255" s="30">
        <f t="shared" si="100"/>
        <v>45</v>
      </c>
    </row>
    <row r="256" spans="1:16" ht="31.5" x14ac:dyDescent="0.25">
      <c r="A256" s="41" t="s">
        <v>26</v>
      </c>
      <c r="B256" s="51" t="s">
        <v>248</v>
      </c>
      <c r="C256" s="52">
        <v>1</v>
      </c>
      <c r="D256" s="53" t="s">
        <v>39</v>
      </c>
      <c r="E256" s="53"/>
      <c r="F256" s="45">
        <v>250</v>
      </c>
      <c r="G256" s="45"/>
      <c r="H256" s="45"/>
      <c r="I256" s="45">
        <f>F256</f>
        <v>250</v>
      </c>
      <c r="J256" s="45"/>
      <c r="K256" s="45"/>
      <c r="L256" s="45">
        <f>F256</f>
        <v>250</v>
      </c>
      <c r="M256" s="45">
        <f>F256*0.7</f>
        <v>175</v>
      </c>
      <c r="N256" s="45">
        <f>F256*0.2</f>
        <v>50</v>
      </c>
      <c r="O256" s="45">
        <f>F256*0.05</f>
        <v>12.5</v>
      </c>
      <c r="P256" s="48">
        <f>F256*0.05</f>
        <v>12.5</v>
      </c>
    </row>
    <row r="257" spans="1:16" ht="63" x14ac:dyDescent="0.25">
      <c r="A257" s="41" t="s">
        <v>26</v>
      </c>
      <c r="B257" s="51" t="s">
        <v>242</v>
      </c>
      <c r="C257" s="52">
        <v>1</v>
      </c>
      <c r="D257" s="53" t="s">
        <v>39</v>
      </c>
      <c r="E257" s="53"/>
      <c r="F257" s="45">
        <v>650</v>
      </c>
      <c r="G257" s="45"/>
      <c r="H257" s="45"/>
      <c r="I257" s="45">
        <f>F257</f>
        <v>650</v>
      </c>
      <c r="J257" s="45"/>
      <c r="K257" s="45"/>
      <c r="L257" s="45">
        <f>F257</f>
        <v>650</v>
      </c>
      <c r="M257" s="45">
        <f>F257*0.7</f>
        <v>454.99999999999994</v>
      </c>
      <c r="N257" s="45">
        <f>F257*0.2</f>
        <v>130</v>
      </c>
      <c r="O257" s="45">
        <f>F257*0.05</f>
        <v>32.5</v>
      </c>
      <c r="P257" s="48">
        <f>F257*0.05</f>
        <v>32.5</v>
      </c>
    </row>
    <row r="258" spans="1:16" ht="16.5" thickBot="1" x14ac:dyDescent="0.3">
      <c r="A258" s="95"/>
      <c r="B258" s="96"/>
      <c r="C258" s="97"/>
      <c r="D258" s="98"/>
      <c r="E258" s="98"/>
      <c r="F258" s="99"/>
      <c r="G258" s="99"/>
      <c r="H258" s="99"/>
      <c r="I258" s="99"/>
      <c r="J258" s="99"/>
      <c r="K258" s="99"/>
      <c r="L258" s="99"/>
      <c r="M258" s="99"/>
      <c r="N258" s="99"/>
      <c r="O258" s="99"/>
      <c r="P258" s="100"/>
    </row>
    <row r="259" spans="1:16" ht="16.5" thickTop="1" x14ac:dyDescent="0.25">
      <c r="A259" s="110"/>
      <c r="B259" s="102"/>
      <c r="C259" s="110"/>
      <c r="D259" s="102"/>
      <c r="E259" s="112"/>
      <c r="F259" s="102"/>
      <c r="G259" s="111"/>
      <c r="H259" s="111"/>
      <c r="I259" s="102"/>
      <c r="J259" s="102"/>
      <c r="K259" s="102"/>
      <c r="L259" s="102"/>
      <c r="M259" s="102"/>
      <c r="N259" s="102"/>
      <c r="O259" s="102"/>
      <c r="P259" s="114"/>
    </row>
  </sheetData>
  <mergeCells count="23">
    <mergeCell ref="A134:B134"/>
    <mergeCell ref="F6:F7"/>
    <mergeCell ref="L5:P5"/>
    <mergeCell ref="M6:M7"/>
    <mergeCell ref="N6:N7"/>
    <mergeCell ref="O6:O7"/>
    <mergeCell ref="P6:P7"/>
    <mergeCell ref="A3:P3"/>
    <mergeCell ref="A1:P1"/>
    <mergeCell ref="G6:G7"/>
    <mergeCell ref="H6:H7"/>
    <mergeCell ref="I6:I7"/>
    <mergeCell ref="J6:J7"/>
    <mergeCell ref="K6:K7"/>
    <mergeCell ref="L6:L7"/>
    <mergeCell ref="A2:P2"/>
    <mergeCell ref="L4:P4"/>
    <mergeCell ref="A5:A7"/>
    <mergeCell ref="B5:B7"/>
    <mergeCell ref="C5:C7"/>
    <mergeCell ref="D5:D7"/>
    <mergeCell ref="E5:E7"/>
    <mergeCell ref="F5:K5"/>
  </mergeCells>
  <pageMargins left="0.23622047244094491" right="0.15748031496062992" top="0.52" bottom="0.43307086614173229" header="0.96" footer="0.19685039370078741"/>
  <pageSetup paperSize="9" scale="80" orientation="landscape" verticalDpi="0" r:id="rId1"/>
  <headerFooter>
    <oddFooter>&amp;F&amp;RPage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M11" sqref="M11"/>
    </sheetView>
  </sheetViews>
  <sheetFormatPr defaultRowHeight="15.75" x14ac:dyDescent="0.25"/>
  <cols>
    <col min="1" max="1" width="9.140625" style="124"/>
    <col min="2" max="2" width="45.7109375" style="123" customWidth="1"/>
    <col min="3" max="3" width="15" style="123" customWidth="1"/>
    <col min="4" max="4" width="7" style="123" customWidth="1"/>
    <col min="5" max="5" width="12.42578125" style="123" bestFit="1" customWidth="1"/>
    <col min="6" max="6" width="0" style="123" hidden="1" customWidth="1"/>
    <col min="7" max="7" width="10.140625" style="123" hidden="1" customWidth="1"/>
    <col min="8" max="9" width="11.28515625" style="123" bestFit="1" customWidth="1"/>
    <col min="10" max="10" width="10.140625" style="123" bestFit="1" customWidth="1"/>
    <col min="11" max="11" width="11.5703125" style="123" customWidth="1"/>
    <col min="12" max="12" width="11.28515625" style="123" bestFit="1" customWidth="1"/>
    <col min="13" max="13" width="12.42578125" style="123" bestFit="1" customWidth="1"/>
    <col min="14" max="14" width="9.140625" style="123"/>
    <col min="15" max="15" width="11.28515625" style="123" customWidth="1"/>
    <col min="16" max="16" width="9.140625" style="123"/>
    <col min="17" max="17" width="10.140625" style="123" bestFit="1" customWidth="1"/>
    <col min="18" max="16384" width="9.140625" style="123"/>
  </cols>
  <sheetData>
    <row r="1" spans="1:15" s="122" customFormat="1" ht="15.75" customHeight="1" x14ac:dyDescent="0.25">
      <c r="A1" s="357" t="s">
        <v>254</v>
      </c>
      <c r="B1" s="357"/>
    </row>
    <row r="2" spans="1:15" s="122" customFormat="1" ht="15.75" customHeight="1" x14ac:dyDescent="0.25">
      <c r="A2" s="357" t="s">
        <v>255</v>
      </c>
      <c r="B2" s="357"/>
      <c r="M2" s="357"/>
      <c r="N2" s="357"/>
      <c r="O2" s="357"/>
    </row>
    <row r="3" spans="1:15" s="122" customFormat="1" ht="15.75" customHeight="1" x14ac:dyDescent="0.25">
      <c r="A3" s="357" t="s">
        <v>527</v>
      </c>
      <c r="B3" s="357"/>
      <c r="C3" s="357"/>
      <c r="D3" s="357"/>
      <c r="E3" s="357"/>
      <c r="F3" s="357"/>
      <c r="G3" s="357"/>
      <c r="H3" s="357"/>
      <c r="I3" s="357"/>
      <c r="J3" s="357"/>
      <c r="K3" s="357"/>
      <c r="L3" s="357"/>
      <c r="M3" s="357"/>
      <c r="N3" s="357"/>
      <c r="O3" s="357"/>
    </row>
    <row r="4" spans="1:15" ht="15.75" customHeight="1" x14ac:dyDescent="0.25">
      <c r="A4" s="357" t="s">
        <v>528</v>
      </c>
      <c r="B4" s="357"/>
      <c r="C4" s="357"/>
      <c r="D4" s="357"/>
      <c r="E4" s="357"/>
      <c r="F4" s="357"/>
      <c r="G4" s="357"/>
      <c r="H4" s="357"/>
      <c r="I4" s="357"/>
      <c r="J4" s="357"/>
      <c r="K4" s="357"/>
      <c r="L4" s="357"/>
      <c r="M4" s="357"/>
      <c r="N4" s="357"/>
      <c r="O4" s="357"/>
    </row>
    <row r="5" spans="1:15" ht="15.75" customHeight="1" x14ac:dyDescent="0.25">
      <c r="A5" s="357"/>
      <c r="B5" s="357"/>
      <c r="C5" s="357"/>
      <c r="D5" s="357"/>
      <c r="E5" s="357"/>
      <c r="F5" s="357"/>
      <c r="G5" s="357"/>
      <c r="H5" s="357"/>
      <c r="I5" s="357"/>
      <c r="J5" s="357"/>
      <c r="K5" s="357"/>
      <c r="L5" s="357"/>
      <c r="M5" s="357"/>
      <c r="N5" s="357"/>
      <c r="O5" s="357"/>
    </row>
    <row r="6" spans="1:15" s="153" customFormat="1" ht="15.75" customHeight="1" x14ac:dyDescent="0.25">
      <c r="A6" s="359" t="s">
        <v>289</v>
      </c>
      <c r="B6" s="359"/>
      <c r="C6" s="359"/>
      <c r="D6" s="359"/>
      <c r="E6" s="359"/>
      <c r="F6" s="359"/>
      <c r="G6" s="359"/>
      <c r="H6" s="359"/>
      <c r="I6" s="359"/>
      <c r="J6" s="359"/>
      <c r="K6" s="359"/>
      <c r="L6" s="359"/>
      <c r="M6" s="359"/>
      <c r="N6" s="359"/>
      <c r="O6" s="359"/>
    </row>
    <row r="7" spans="1:15" ht="16.5" thickBot="1" x14ac:dyDescent="0.3">
      <c r="K7" s="364" t="s">
        <v>0</v>
      </c>
      <c r="L7" s="364"/>
      <c r="M7" s="364"/>
      <c r="N7" s="364"/>
      <c r="O7" s="364"/>
    </row>
    <row r="8" spans="1:15" s="125" customFormat="1" ht="16.5" thickTop="1" x14ac:dyDescent="0.25">
      <c r="A8" s="360" t="s">
        <v>1</v>
      </c>
      <c r="B8" s="362" t="s">
        <v>2</v>
      </c>
      <c r="C8" s="316" t="s">
        <v>3</v>
      </c>
      <c r="D8" s="316" t="s">
        <v>4</v>
      </c>
      <c r="E8" s="316" t="s">
        <v>257</v>
      </c>
      <c r="F8" s="316"/>
      <c r="G8" s="316"/>
      <c r="H8" s="316"/>
      <c r="I8" s="316"/>
      <c r="J8" s="316"/>
      <c r="K8" s="316" t="s">
        <v>7</v>
      </c>
      <c r="L8" s="316"/>
      <c r="M8" s="316"/>
      <c r="N8" s="316"/>
      <c r="O8" s="365"/>
    </row>
    <row r="9" spans="1:15" s="126" customFormat="1" ht="15.75" customHeight="1" x14ac:dyDescent="0.25">
      <c r="A9" s="361"/>
      <c r="B9" s="363"/>
      <c r="C9" s="310"/>
      <c r="D9" s="310"/>
      <c r="E9" s="310" t="s">
        <v>258</v>
      </c>
      <c r="F9" s="310" t="s">
        <v>8</v>
      </c>
      <c r="G9" s="310" t="s">
        <v>9</v>
      </c>
      <c r="H9" s="310" t="s">
        <v>10</v>
      </c>
      <c r="I9" s="310" t="s">
        <v>11</v>
      </c>
      <c r="J9" s="310" t="s">
        <v>12</v>
      </c>
      <c r="K9" s="310" t="s">
        <v>13</v>
      </c>
      <c r="L9" s="310" t="s">
        <v>14</v>
      </c>
      <c r="M9" s="310" t="s">
        <v>15</v>
      </c>
      <c r="N9" s="310" t="s">
        <v>16</v>
      </c>
      <c r="O9" s="358" t="s">
        <v>259</v>
      </c>
    </row>
    <row r="10" spans="1:15" s="126" customFormat="1" x14ac:dyDescent="0.25">
      <c r="A10" s="361"/>
      <c r="B10" s="363"/>
      <c r="C10" s="310"/>
      <c r="D10" s="310"/>
      <c r="E10" s="310"/>
      <c r="F10" s="310"/>
      <c r="G10" s="310"/>
      <c r="H10" s="310"/>
      <c r="I10" s="310"/>
      <c r="J10" s="310"/>
      <c r="K10" s="310"/>
      <c r="L10" s="310"/>
      <c r="M10" s="310"/>
      <c r="N10" s="310"/>
      <c r="O10" s="358"/>
    </row>
    <row r="11" spans="1:15" s="132" customFormat="1" x14ac:dyDescent="0.25">
      <c r="A11" s="127" t="s">
        <v>18</v>
      </c>
      <c r="B11" s="128" t="s">
        <v>256</v>
      </c>
      <c r="C11" s="129"/>
      <c r="D11" s="129"/>
      <c r="E11" s="130">
        <f t="shared" ref="E11:O11" si="0">E12+E14+E18+E20+E33+E35</f>
        <v>62685.714</v>
      </c>
      <c r="F11" s="130">
        <f t="shared" si="0"/>
        <v>0</v>
      </c>
      <c r="G11" s="130">
        <f t="shared" si="0"/>
        <v>0</v>
      </c>
      <c r="H11" s="130">
        <f t="shared" si="0"/>
        <v>46300</v>
      </c>
      <c r="I11" s="130">
        <f t="shared" si="0"/>
        <v>11385.714</v>
      </c>
      <c r="J11" s="130">
        <f t="shared" si="0"/>
        <v>5000</v>
      </c>
      <c r="K11" s="130">
        <f t="shared" si="0"/>
        <v>62685.714</v>
      </c>
      <c r="L11" s="130">
        <f t="shared" si="0"/>
        <v>43879.999799999998</v>
      </c>
      <c r="M11" s="130">
        <f t="shared" si="0"/>
        <v>18805.714200000002</v>
      </c>
      <c r="N11" s="130">
        <f t="shared" si="0"/>
        <v>0</v>
      </c>
      <c r="O11" s="131">
        <f t="shared" si="0"/>
        <v>0</v>
      </c>
    </row>
    <row r="12" spans="1:15" s="138" customFormat="1" x14ac:dyDescent="0.25">
      <c r="A12" s="133">
        <v>1</v>
      </c>
      <c r="B12" s="134" t="s">
        <v>260</v>
      </c>
      <c r="C12" s="135"/>
      <c r="D12" s="135"/>
      <c r="E12" s="136">
        <f>E13</f>
        <v>3700</v>
      </c>
      <c r="F12" s="136">
        <f t="shared" ref="F12:I12" si="1">F13</f>
        <v>0</v>
      </c>
      <c r="G12" s="136">
        <f t="shared" si="1"/>
        <v>0</v>
      </c>
      <c r="H12" s="136">
        <f t="shared" si="1"/>
        <v>3700</v>
      </c>
      <c r="I12" s="136">
        <f t="shared" si="1"/>
        <v>0</v>
      </c>
      <c r="J12" s="136"/>
      <c r="K12" s="136">
        <f>K13</f>
        <v>3700</v>
      </c>
      <c r="L12" s="136">
        <f t="shared" ref="L12:O12" si="2">L13</f>
        <v>2590</v>
      </c>
      <c r="M12" s="136">
        <f t="shared" si="2"/>
        <v>1110</v>
      </c>
      <c r="N12" s="136">
        <f t="shared" si="2"/>
        <v>0</v>
      </c>
      <c r="O12" s="137">
        <f t="shared" si="2"/>
        <v>0</v>
      </c>
    </row>
    <row r="13" spans="1:15" s="126" customFormat="1" ht="31.5" x14ac:dyDescent="0.25">
      <c r="A13" s="139" t="s">
        <v>26</v>
      </c>
      <c r="B13" s="62" t="s">
        <v>261</v>
      </c>
      <c r="C13" s="140"/>
      <c r="D13" s="140"/>
      <c r="E13" s="141">
        <v>3700</v>
      </c>
      <c r="F13" s="141"/>
      <c r="G13" s="141"/>
      <c r="H13" s="141">
        <v>3700</v>
      </c>
      <c r="I13" s="141"/>
      <c r="J13" s="141"/>
      <c r="K13" s="141">
        <v>3700</v>
      </c>
      <c r="L13" s="141">
        <f>K13*70%</f>
        <v>2590</v>
      </c>
      <c r="M13" s="141">
        <f>K13*30%</f>
        <v>1110</v>
      </c>
      <c r="N13" s="141"/>
      <c r="O13" s="142"/>
    </row>
    <row r="14" spans="1:15" s="138" customFormat="1" x14ac:dyDescent="0.25">
      <c r="A14" s="133">
        <v>2</v>
      </c>
      <c r="B14" s="134" t="s">
        <v>262</v>
      </c>
      <c r="C14" s="143"/>
      <c r="D14" s="135"/>
      <c r="E14" s="136">
        <f t="shared" ref="E14:O14" si="3">SUM(E15:E17)</f>
        <v>7685.7139999999999</v>
      </c>
      <c r="F14" s="136">
        <f t="shared" si="3"/>
        <v>0</v>
      </c>
      <c r="G14" s="136">
        <f t="shared" si="3"/>
        <v>0</v>
      </c>
      <c r="H14" s="136">
        <f t="shared" si="3"/>
        <v>3000</v>
      </c>
      <c r="I14" s="136">
        <f t="shared" si="3"/>
        <v>4685.7139999999999</v>
      </c>
      <c r="J14" s="136">
        <f t="shared" si="3"/>
        <v>0</v>
      </c>
      <c r="K14" s="136">
        <f t="shared" si="3"/>
        <v>7685.7139999999999</v>
      </c>
      <c r="L14" s="136">
        <f t="shared" si="3"/>
        <v>5379.9997999999996</v>
      </c>
      <c r="M14" s="136">
        <f t="shared" si="3"/>
        <v>2305.7141999999999</v>
      </c>
      <c r="N14" s="136">
        <f t="shared" si="3"/>
        <v>0</v>
      </c>
      <c r="O14" s="137">
        <f t="shared" si="3"/>
        <v>0</v>
      </c>
    </row>
    <row r="15" spans="1:15" s="126" customFormat="1" ht="31.5" x14ac:dyDescent="0.25">
      <c r="A15" s="139" t="s">
        <v>26</v>
      </c>
      <c r="B15" s="90" t="s">
        <v>263</v>
      </c>
      <c r="C15" s="144"/>
      <c r="D15" s="140"/>
      <c r="E15" s="141">
        <f>SUM(F15:J15)</f>
        <v>5000</v>
      </c>
      <c r="F15" s="141"/>
      <c r="G15" s="141"/>
      <c r="H15" s="141">
        <v>3000</v>
      </c>
      <c r="I15" s="141">
        <v>2000</v>
      </c>
      <c r="J15" s="141"/>
      <c r="K15" s="141">
        <v>5000</v>
      </c>
      <c r="L15" s="141">
        <f>K15*70%</f>
        <v>3500</v>
      </c>
      <c r="M15" s="141">
        <f>K15*30%</f>
        <v>1500</v>
      </c>
      <c r="N15" s="141"/>
      <c r="O15" s="142"/>
    </row>
    <row r="16" spans="1:15" s="126" customFormat="1" ht="31.5" x14ac:dyDescent="0.25">
      <c r="A16" s="139" t="s">
        <v>26</v>
      </c>
      <c r="B16" s="90" t="s">
        <v>264</v>
      </c>
      <c r="C16" s="144"/>
      <c r="D16" s="140"/>
      <c r="E16" s="141">
        <v>2685.7139999999999</v>
      </c>
      <c r="F16" s="141"/>
      <c r="G16" s="141"/>
      <c r="H16" s="141"/>
      <c r="I16" s="141">
        <f>E16</f>
        <v>2685.7139999999999</v>
      </c>
      <c r="J16" s="141"/>
      <c r="K16" s="141">
        <v>2685.7139999999999</v>
      </c>
      <c r="L16" s="141">
        <f>K16*70%</f>
        <v>1879.9997999999998</v>
      </c>
      <c r="M16" s="141">
        <f>K16*30%</f>
        <v>805.71420000000001</v>
      </c>
      <c r="N16" s="141"/>
      <c r="O16" s="142"/>
    </row>
    <row r="17" spans="1:15" s="126" customFormat="1" x14ac:dyDescent="0.25">
      <c r="A17" s="41"/>
      <c r="B17" s="90"/>
      <c r="C17" s="144"/>
      <c r="D17" s="140"/>
      <c r="E17" s="141"/>
      <c r="F17" s="141"/>
      <c r="G17" s="141"/>
      <c r="H17" s="141"/>
      <c r="I17" s="141"/>
      <c r="J17" s="141"/>
      <c r="K17" s="141"/>
      <c r="L17" s="141"/>
      <c r="M17" s="141"/>
      <c r="N17" s="141"/>
      <c r="O17" s="142"/>
    </row>
    <row r="18" spans="1:15" s="138" customFormat="1" x14ac:dyDescent="0.25">
      <c r="A18" s="133">
        <v>3</v>
      </c>
      <c r="B18" s="134" t="s">
        <v>265</v>
      </c>
      <c r="C18" s="135"/>
      <c r="D18" s="135"/>
      <c r="E18" s="136">
        <f>E19</f>
        <v>7000</v>
      </c>
      <c r="F18" s="136">
        <f t="shared" ref="F18:I18" si="4">F19</f>
        <v>0</v>
      </c>
      <c r="G18" s="136">
        <f t="shared" si="4"/>
        <v>0</v>
      </c>
      <c r="H18" s="136">
        <f t="shared" si="4"/>
        <v>5000</v>
      </c>
      <c r="I18" s="136">
        <f t="shared" si="4"/>
        <v>2000</v>
      </c>
      <c r="J18" s="136"/>
      <c r="K18" s="136">
        <f>K19</f>
        <v>7000</v>
      </c>
      <c r="L18" s="136">
        <f t="shared" ref="L18:O18" si="5">L19</f>
        <v>4900</v>
      </c>
      <c r="M18" s="136">
        <f t="shared" si="5"/>
        <v>2100</v>
      </c>
      <c r="N18" s="136">
        <f t="shared" si="5"/>
        <v>0</v>
      </c>
      <c r="O18" s="137">
        <f t="shared" si="5"/>
        <v>0</v>
      </c>
    </row>
    <row r="19" spans="1:15" s="126" customFormat="1" x14ac:dyDescent="0.25">
      <c r="A19" s="139"/>
      <c r="B19" s="145" t="s">
        <v>292</v>
      </c>
      <c r="C19" s="140"/>
      <c r="D19" s="140"/>
      <c r="E19" s="141">
        <f>SUM(F19:J19)</f>
        <v>7000</v>
      </c>
      <c r="F19" s="141"/>
      <c r="G19" s="141"/>
      <c r="H19" s="141">
        <v>5000</v>
      </c>
      <c r="I19" s="141">
        <v>2000</v>
      </c>
      <c r="J19" s="141"/>
      <c r="K19" s="141">
        <v>7000</v>
      </c>
      <c r="L19" s="141">
        <f>K19*70%</f>
        <v>4900</v>
      </c>
      <c r="M19" s="141">
        <f>K19*30%</f>
        <v>2100</v>
      </c>
      <c r="N19" s="141"/>
      <c r="O19" s="142"/>
    </row>
    <row r="20" spans="1:15" s="138" customFormat="1" x14ac:dyDescent="0.25">
      <c r="A20" s="133">
        <v>4</v>
      </c>
      <c r="B20" s="134" t="s">
        <v>266</v>
      </c>
      <c r="C20" s="135"/>
      <c r="D20" s="135"/>
      <c r="E20" s="136">
        <f>E21+E23+E30</f>
        <v>36600</v>
      </c>
      <c r="F20" s="136">
        <f t="shared" ref="F20:O20" si="6">F21+F23+F30</f>
        <v>0</v>
      </c>
      <c r="G20" s="136">
        <f t="shared" si="6"/>
        <v>0</v>
      </c>
      <c r="H20" s="136">
        <f t="shared" si="6"/>
        <v>31600</v>
      </c>
      <c r="I20" s="136">
        <f t="shared" si="6"/>
        <v>0</v>
      </c>
      <c r="J20" s="136">
        <f t="shared" si="6"/>
        <v>5000</v>
      </c>
      <c r="K20" s="136">
        <f t="shared" si="6"/>
        <v>36600</v>
      </c>
      <c r="L20" s="136">
        <f t="shared" si="6"/>
        <v>25620</v>
      </c>
      <c r="M20" s="136">
        <f t="shared" si="6"/>
        <v>10980</v>
      </c>
      <c r="N20" s="136">
        <f t="shared" si="6"/>
        <v>0</v>
      </c>
      <c r="O20" s="137">
        <f t="shared" si="6"/>
        <v>0</v>
      </c>
    </row>
    <row r="21" spans="1:15" s="132" customFormat="1" x14ac:dyDescent="0.25">
      <c r="A21" s="127" t="s">
        <v>267</v>
      </c>
      <c r="B21" s="128" t="s">
        <v>268</v>
      </c>
      <c r="C21" s="129"/>
      <c r="D21" s="129"/>
      <c r="E21" s="130">
        <f>E22</f>
        <v>5000</v>
      </c>
      <c r="F21" s="130"/>
      <c r="G21" s="130"/>
      <c r="H21" s="130">
        <f>H22</f>
        <v>0</v>
      </c>
      <c r="I21" s="130"/>
      <c r="J21" s="130">
        <f>J22</f>
        <v>5000</v>
      </c>
      <c r="K21" s="130">
        <f>K22</f>
        <v>5000</v>
      </c>
      <c r="L21" s="130">
        <f t="shared" ref="L21:O21" si="7">L22</f>
        <v>3500</v>
      </c>
      <c r="M21" s="130">
        <f t="shared" si="7"/>
        <v>1500</v>
      </c>
      <c r="N21" s="130">
        <f t="shared" si="7"/>
        <v>0</v>
      </c>
      <c r="O21" s="131">
        <f t="shared" si="7"/>
        <v>0</v>
      </c>
    </row>
    <row r="22" spans="1:15" s="126" customFormat="1" x14ac:dyDescent="0.25">
      <c r="A22" s="139"/>
      <c r="B22" s="145" t="s">
        <v>269</v>
      </c>
      <c r="C22" s="140"/>
      <c r="D22" s="140"/>
      <c r="E22" s="141">
        <f>SUM(F22:J22)</f>
        <v>5000</v>
      </c>
      <c r="F22" s="141"/>
      <c r="G22" s="141"/>
      <c r="H22" s="141"/>
      <c r="I22" s="141"/>
      <c r="J22" s="141">
        <v>5000</v>
      </c>
      <c r="K22" s="141">
        <v>5000</v>
      </c>
      <c r="L22" s="141">
        <f>K22*70%</f>
        <v>3500</v>
      </c>
      <c r="M22" s="141">
        <f>K22*30%</f>
        <v>1500</v>
      </c>
      <c r="N22" s="141"/>
      <c r="O22" s="142"/>
    </row>
    <row r="23" spans="1:15" s="132" customFormat="1" x14ac:dyDescent="0.25">
      <c r="A23" s="127" t="s">
        <v>270</v>
      </c>
      <c r="B23" s="128" t="s">
        <v>271</v>
      </c>
      <c r="C23" s="129"/>
      <c r="D23" s="129"/>
      <c r="E23" s="130">
        <f>SUM(E24:E29)</f>
        <v>27600</v>
      </c>
      <c r="F23" s="130">
        <f t="shared" ref="F23:O23" si="8">SUM(F24:F29)</f>
        <v>0</v>
      </c>
      <c r="G23" s="130">
        <f t="shared" si="8"/>
        <v>0</v>
      </c>
      <c r="H23" s="130">
        <f t="shared" si="8"/>
        <v>27600</v>
      </c>
      <c r="I23" s="130">
        <f t="shared" si="8"/>
        <v>0</v>
      </c>
      <c r="J23" s="130">
        <f t="shared" si="8"/>
        <v>0</v>
      </c>
      <c r="K23" s="130">
        <f t="shared" si="8"/>
        <v>27600</v>
      </c>
      <c r="L23" s="130">
        <f t="shared" si="8"/>
        <v>19320</v>
      </c>
      <c r="M23" s="130">
        <f t="shared" si="8"/>
        <v>8280</v>
      </c>
      <c r="N23" s="130">
        <f t="shared" si="8"/>
        <v>0</v>
      </c>
      <c r="O23" s="131">
        <f t="shared" si="8"/>
        <v>0</v>
      </c>
    </row>
    <row r="24" spans="1:15" s="126" customFormat="1" ht="31.5" x14ac:dyDescent="0.25">
      <c r="A24" s="139" t="s">
        <v>26</v>
      </c>
      <c r="B24" s="146" t="s">
        <v>272</v>
      </c>
      <c r="C24" s="140" t="s">
        <v>273</v>
      </c>
      <c r="D24" s="140"/>
      <c r="E24" s="141">
        <f t="shared" ref="E24:E29" si="9">SUM(F24:J24)</f>
        <v>3300</v>
      </c>
      <c r="F24" s="141"/>
      <c r="G24" s="141"/>
      <c r="H24" s="141">
        <v>3300</v>
      </c>
      <c r="I24" s="141"/>
      <c r="J24" s="141"/>
      <c r="K24" s="141">
        <v>3300</v>
      </c>
      <c r="L24" s="141">
        <f>K24*70%</f>
        <v>2310</v>
      </c>
      <c r="M24" s="141">
        <f>K24*30%</f>
        <v>990</v>
      </c>
      <c r="N24" s="141"/>
      <c r="O24" s="142"/>
    </row>
    <row r="25" spans="1:15" s="126" customFormat="1" ht="31.5" x14ac:dyDescent="0.25">
      <c r="A25" s="139" t="s">
        <v>26</v>
      </c>
      <c r="B25" s="146" t="s">
        <v>274</v>
      </c>
      <c r="C25" s="140" t="s">
        <v>275</v>
      </c>
      <c r="D25" s="140"/>
      <c r="E25" s="141">
        <f t="shared" si="9"/>
        <v>4800</v>
      </c>
      <c r="F25" s="141"/>
      <c r="G25" s="141"/>
      <c r="H25" s="141">
        <v>4800</v>
      </c>
      <c r="I25" s="141"/>
      <c r="J25" s="141"/>
      <c r="K25" s="141">
        <v>4800</v>
      </c>
      <c r="L25" s="141">
        <f t="shared" ref="L25:L29" si="10">K25*70%</f>
        <v>3360</v>
      </c>
      <c r="M25" s="141">
        <f t="shared" ref="M25:M29" si="11">K25*30%</f>
        <v>1440</v>
      </c>
      <c r="N25" s="141"/>
      <c r="O25" s="142"/>
    </row>
    <row r="26" spans="1:15" s="126" customFormat="1" ht="31.5" x14ac:dyDescent="0.25">
      <c r="A26" s="139" t="s">
        <v>26</v>
      </c>
      <c r="B26" s="147" t="s">
        <v>276</v>
      </c>
      <c r="C26" s="140" t="s">
        <v>277</v>
      </c>
      <c r="D26" s="140"/>
      <c r="E26" s="141">
        <f t="shared" si="9"/>
        <v>3500</v>
      </c>
      <c r="F26" s="141"/>
      <c r="G26" s="141"/>
      <c r="H26" s="141">
        <v>3500</v>
      </c>
      <c r="I26" s="141"/>
      <c r="J26" s="141"/>
      <c r="K26" s="141">
        <v>3500</v>
      </c>
      <c r="L26" s="141">
        <f t="shared" si="10"/>
        <v>2450</v>
      </c>
      <c r="M26" s="141">
        <f t="shared" si="11"/>
        <v>1050</v>
      </c>
      <c r="N26" s="141"/>
      <c r="O26" s="142"/>
    </row>
    <row r="27" spans="1:15" s="126" customFormat="1" ht="31.5" x14ac:dyDescent="0.25">
      <c r="A27" s="139" t="s">
        <v>26</v>
      </c>
      <c r="B27" s="147" t="s">
        <v>278</v>
      </c>
      <c r="C27" s="140" t="s">
        <v>279</v>
      </c>
      <c r="D27" s="140"/>
      <c r="E27" s="141">
        <f t="shared" si="9"/>
        <v>3200</v>
      </c>
      <c r="F27" s="141"/>
      <c r="G27" s="141"/>
      <c r="H27" s="141">
        <v>3200</v>
      </c>
      <c r="I27" s="141"/>
      <c r="J27" s="141"/>
      <c r="K27" s="141">
        <v>3200</v>
      </c>
      <c r="L27" s="141">
        <f t="shared" si="10"/>
        <v>2240</v>
      </c>
      <c r="M27" s="141">
        <f t="shared" si="11"/>
        <v>960</v>
      </c>
      <c r="N27" s="141"/>
      <c r="O27" s="142"/>
    </row>
    <row r="28" spans="1:15" s="126" customFormat="1" ht="31.5" x14ac:dyDescent="0.25">
      <c r="A28" s="139" t="s">
        <v>26</v>
      </c>
      <c r="B28" s="147" t="s">
        <v>280</v>
      </c>
      <c r="C28" s="140" t="s">
        <v>281</v>
      </c>
      <c r="D28" s="140"/>
      <c r="E28" s="141">
        <f t="shared" si="9"/>
        <v>3800</v>
      </c>
      <c r="F28" s="141"/>
      <c r="G28" s="141"/>
      <c r="H28" s="141">
        <v>3800</v>
      </c>
      <c r="I28" s="141"/>
      <c r="J28" s="141"/>
      <c r="K28" s="141">
        <v>3800</v>
      </c>
      <c r="L28" s="141">
        <f t="shared" si="10"/>
        <v>2660</v>
      </c>
      <c r="M28" s="141">
        <f t="shared" si="11"/>
        <v>1140</v>
      </c>
      <c r="N28" s="141"/>
      <c r="O28" s="142"/>
    </row>
    <row r="29" spans="1:15" s="126" customFormat="1" ht="31.5" x14ac:dyDescent="0.25">
      <c r="A29" s="139" t="s">
        <v>26</v>
      </c>
      <c r="B29" s="147" t="s">
        <v>282</v>
      </c>
      <c r="C29" s="140" t="s">
        <v>283</v>
      </c>
      <c r="D29" s="140"/>
      <c r="E29" s="141">
        <f t="shared" si="9"/>
        <v>9000</v>
      </c>
      <c r="F29" s="141"/>
      <c r="G29" s="141"/>
      <c r="H29" s="141">
        <v>9000</v>
      </c>
      <c r="I29" s="141"/>
      <c r="J29" s="141"/>
      <c r="K29" s="141">
        <v>9000</v>
      </c>
      <c r="L29" s="141">
        <f t="shared" si="10"/>
        <v>6300</v>
      </c>
      <c r="M29" s="141">
        <f t="shared" si="11"/>
        <v>2700</v>
      </c>
      <c r="N29" s="141"/>
      <c r="O29" s="142"/>
    </row>
    <row r="30" spans="1:15" s="132" customFormat="1" x14ac:dyDescent="0.25">
      <c r="A30" s="127" t="s">
        <v>284</v>
      </c>
      <c r="B30" s="128" t="s">
        <v>285</v>
      </c>
      <c r="C30" s="129"/>
      <c r="D30" s="129"/>
      <c r="E30" s="130">
        <f t="shared" ref="E30:O30" si="12">SUM(E31:E32)</f>
        <v>4000</v>
      </c>
      <c r="F30" s="130">
        <f t="shared" si="12"/>
        <v>0</v>
      </c>
      <c r="G30" s="130">
        <f t="shared" si="12"/>
        <v>0</v>
      </c>
      <c r="H30" s="130">
        <f t="shared" si="12"/>
        <v>4000</v>
      </c>
      <c r="I30" s="130">
        <f t="shared" si="12"/>
        <v>0</v>
      </c>
      <c r="J30" s="130">
        <f t="shared" si="12"/>
        <v>0</v>
      </c>
      <c r="K30" s="130">
        <f t="shared" si="12"/>
        <v>4000</v>
      </c>
      <c r="L30" s="130">
        <f t="shared" si="12"/>
        <v>2800</v>
      </c>
      <c r="M30" s="130">
        <f t="shared" si="12"/>
        <v>1200</v>
      </c>
      <c r="N30" s="130">
        <f t="shared" si="12"/>
        <v>0</v>
      </c>
      <c r="O30" s="131">
        <f t="shared" si="12"/>
        <v>0</v>
      </c>
    </row>
    <row r="31" spans="1:15" s="126" customFormat="1" ht="31.5" x14ac:dyDescent="0.25">
      <c r="A31" s="139" t="s">
        <v>26</v>
      </c>
      <c r="B31" s="145" t="s">
        <v>286</v>
      </c>
      <c r="C31" s="140"/>
      <c r="D31" s="140"/>
      <c r="E31" s="141">
        <f>SUM(F31:J31)</f>
        <v>3000</v>
      </c>
      <c r="F31" s="141"/>
      <c r="G31" s="141"/>
      <c r="H31" s="141">
        <v>3000</v>
      </c>
      <c r="I31" s="141"/>
      <c r="J31" s="141"/>
      <c r="K31" s="141">
        <v>3000</v>
      </c>
      <c r="L31" s="141">
        <f>K31*70%</f>
        <v>2100</v>
      </c>
      <c r="M31" s="141">
        <f>K31*30%</f>
        <v>900</v>
      </c>
      <c r="N31" s="141"/>
      <c r="O31" s="142"/>
    </row>
    <row r="32" spans="1:15" s="126" customFormat="1" x14ac:dyDescent="0.25">
      <c r="A32" s="139" t="s">
        <v>26</v>
      </c>
      <c r="B32" s="145" t="s">
        <v>287</v>
      </c>
      <c r="C32" s="140"/>
      <c r="D32" s="140"/>
      <c r="E32" s="141">
        <f>SUM(F32:J32)</f>
        <v>1000</v>
      </c>
      <c r="F32" s="141"/>
      <c r="G32" s="141"/>
      <c r="H32" s="141">
        <v>1000</v>
      </c>
      <c r="I32" s="141"/>
      <c r="J32" s="141"/>
      <c r="K32" s="141">
        <v>1000</v>
      </c>
      <c r="L32" s="141">
        <f t="shared" ref="L32" si="13">K32*70%</f>
        <v>700</v>
      </c>
      <c r="M32" s="141">
        <f t="shared" ref="M32" si="14">K32*30%</f>
        <v>300</v>
      </c>
      <c r="N32" s="141"/>
      <c r="O32" s="142"/>
    </row>
    <row r="33" spans="1:15" s="138" customFormat="1" x14ac:dyDescent="0.25">
      <c r="A33" s="133">
        <v>6</v>
      </c>
      <c r="B33" s="134" t="s">
        <v>288</v>
      </c>
      <c r="C33" s="135"/>
      <c r="D33" s="135"/>
      <c r="E33" s="136">
        <f>E34</f>
        <v>7700</v>
      </c>
      <c r="F33" s="136">
        <f t="shared" ref="F33:I33" si="15">F34</f>
        <v>0</v>
      </c>
      <c r="G33" s="136">
        <f t="shared" si="15"/>
        <v>0</v>
      </c>
      <c r="H33" s="136">
        <f t="shared" si="15"/>
        <v>3000</v>
      </c>
      <c r="I33" s="136">
        <f t="shared" si="15"/>
        <v>4700</v>
      </c>
      <c r="J33" s="136"/>
      <c r="K33" s="136">
        <f>K34</f>
        <v>7700</v>
      </c>
      <c r="L33" s="136">
        <f t="shared" ref="L33:M33" si="16">L34</f>
        <v>5390</v>
      </c>
      <c r="M33" s="136">
        <f t="shared" si="16"/>
        <v>2310</v>
      </c>
      <c r="N33" s="136"/>
      <c r="O33" s="137"/>
    </row>
    <row r="34" spans="1:15" s="126" customFormat="1" x14ac:dyDescent="0.25">
      <c r="A34" s="139" t="s">
        <v>26</v>
      </c>
      <c r="B34" s="145" t="s">
        <v>290</v>
      </c>
      <c r="C34" s="140"/>
      <c r="D34" s="140"/>
      <c r="E34" s="141">
        <v>7700</v>
      </c>
      <c r="F34" s="141"/>
      <c r="G34" s="141"/>
      <c r="H34" s="141">
        <v>3000</v>
      </c>
      <c r="I34" s="141">
        <v>4700</v>
      </c>
      <c r="J34" s="141"/>
      <c r="K34" s="141">
        <v>7700</v>
      </c>
      <c r="L34" s="141">
        <f>K34*70%</f>
        <v>5390</v>
      </c>
      <c r="M34" s="141">
        <f>K34*30%</f>
        <v>2310</v>
      </c>
      <c r="N34" s="141"/>
      <c r="O34" s="142"/>
    </row>
    <row r="35" spans="1:15" s="138" customFormat="1" x14ac:dyDescent="0.25">
      <c r="A35" s="133"/>
      <c r="B35" s="134"/>
      <c r="C35" s="135"/>
      <c r="D35" s="135"/>
      <c r="E35" s="136"/>
      <c r="F35" s="136"/>
      <c r="G35" s="136"/>
      <c r="H35" s="136"/>
      <c r="I35" s="136"/>
      <c r="J35" s="136"/>
      <c r="K35" s="136"/>
      <c r="L35" s="136"/>
      <c r="M35" s="136"/>
      <c r="N35" s="136"/>
      <c r="O35" s="137"/>
    </row>
    <row r="36" spans="1:15" ht="16.5" thickBot="1" x14ac:dyDescent="0.3">
      <c r="A36" s="148"/>
      <c r="B36" s="149"/>
      <c r="C36" s="149"/>
      <c r="D36" s="149"/>
      <c r="E36" s="150"/>
      <c r="F36" s="150"/>
      <c r="G36" s="150"/>
      <c r="H36" s="150"/>
      <c r="I36" s="150"/>
      <c r="J36" s="150"/>
      <c r="K36" s="150"/>
      <c r="L36" s="150"/>
      <c r="M36" s="150"/>
      <c r="N36" s="150"/>
      <c r="O36" s="151"/>
    </row>
    <row r="37" spans="1:15" ht="16.5" thickTop="1" x14ac:dyDescent="0.25"/>
  </sheetData>
  <mergeCells count="25">
    <mergeCell ref="M2:O2"/>
    <mergeCell ref="A4:O4"/>
    <mergeCell ref="A5:O5"/>
    <mergeCell ref="K7:O7"/>
    <mergeCell ref="F9:F10"/>
    <mergeCell ref="G9:G10"/>
    <mergeCell ref="H9:H10"/>
    <mergeCell ref="K8:O8"/>
    <mergeCell ref="E9:E10"/>
    <mergeCell ref="A1:B1"/>
    <mergeCell ref="A2:B2"/>
    <mergeCell ref="O9:O10"/>
    <mergeCell ref="A3:O3"/>
    <mergeCell ref="A6:O6"/>
    <mergeCell ref="I9:I10"/>
    <mergeCell ref="J9:J10"/>
    <mergeCell ref="K9:K10"/>
    <mergeCell ref="L9:L10"/>
    <mergeCell ref="M9:M10"/>
    <mergeCell ref="N9:N10"/>
    <mergeCell ref="A8:A10"/>
    <mergeCell ref="B8:B10"/>
    <mergeCell ref="C8:C10"/>
    <mergeCell ref="D8:D10"/>
    <mergeCell ref="E8:J8"/>
  </mergeCells>
  <pageMargins left="0.70866141732283472" right="0.15748031496062992" top="0.54" bottom="0.36" header="0.31496062992125984" footer="0.2"/>
  <pageSetup paperSize="9" scale="7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8" sqref="J18:J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KHTH_TONG HOP </vt:lpstr>
      <vt:lpstr>pl01_DM ĐTPT NTM 2021-2022(TW)</vt:lpstr>
      <vt:lpstr>pl02_DM ĐTPT 2021 (Vốn tỉnh)</vt:lpstr>
      <vt:lpstr>pl3_KHTH_xa_2023-2025</vt:lpstr>
      <vt:lpstr>pl4_KHTH_H.NTM_2022-2025</vt:lpstr>
      <vt:lpstr>2023</vt:lpstr>
      <vt:lpstr>'pl01_DM ĐTPT NTM 2021-2022(TW)'!Print_Titles</vt:lpstr>
      <vt:lpstr>'pl02_DM ĐTPT 2021 (Vốn tỉnh)'!Print_Titles</vt:lpstr>
      <vt:lpstr>'pl3_KHTH_xa_2023-2025'!Print_Titles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2023-05-05T02:39:11Z</cp:lastPrinted>
  <dcterms:created xsi:type="dcterms:W3CDTF">2023-04-18T02:11:15Z</dcterms:created>
  <dcterms:modified xsi:type="dcterms:W3CDTF">2023-05-05T02:45:10Z</dcterms:modified>
</cp:coreProperties>
</file>